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\CAFABA\Publicidad 2021\MARZO 2021\TARIFAS RECREACIÓN 2021\"/>
    </mc:Choice>
  </mc:AlternateContent>
  <xr:revisionPtr revIDLastSave="0" documentId="8_{70AF24A3-2A6F-4675-B768-06209401AF5D}" xr6:coauthVersionLast="37" xr6:coauthVersionMax="37" xr10:uidLastSave="{00000000-0000-0000-0000-000000000000}"/>
  <bookViews>
    <workbookView xWindow="0" yWindow="0" windowWidth="28800" windowHeight="12165" xr2:uid="{A54FA38C-B20B-432D-A876-9F3E760A389F}"/>
  </bookViews>
  <sheets>
    <sheet name="Hoja2" sheetId="2" r:id="rId1"/>
  </sheets>
  <externalReferences>
    <externalReference r:id="rId2"/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50" i="2" l="1"/>
  <c r="K248" i="2"/>
  <c r="G248" i="2"/>
  <c r="J248" i="2" s="1"/>
  <c r="E248" i="2"/>
  <c r="E247" i="2"/>
  <c r="E246" i="2"/>
  <c r="C246" i="2"/>
  <c r="F247" i="2" s="1"/>
  <c r="K247" i="2" s="1"/>
  <c r="L243" i="2"/>
  <c r="K241" i="2"/>
  <c r="E241" i="2"/>
  <c r="E240" i="2"/>
  <c r="E239" i="2"/>
  <c r="C239" i="2"/>
  <c r="F235" i="2"/>
  <c r="E235" i="2"/>
  <c r="F234" i="2"/>
  <c r="E234" i="2"/>
  <c r="F233" i="2"/>
  <c r="E233" i="2"/>
  <c r="F229" i="2"/>
  <c r="E229" i="2"/>
  <c r="F228" i="2"/>
  <c r="E228" i="2"/>
  <c r="F227" i="2"/>
  <c r="E227" i="2"/>
  <c r="F222" i="2"/>
  <c r="E222" i="2"/>
  <c r="F221" i="2"/>
  <c r="E221" i="2"/>
  <c r="F220" i="2"/>
  <c r="E220" i="2"/>
  <c r="L216" i="2"/>
  <c r="K215" i="2"/>
  <c r="G215" i="2"/>
  <c r="E215" i="2"/>
  <c r="K214" i="2"/>
  <c r="G214" i="2"/>
  <c r="J214" i="2" s="1"/>
  <c r="E214" i="2"/>
  <c r="K213" i="2"/>
  <c r="I213" i="2"/>
  <c r="G213" i="2"/>
  <c r="H213" i="2" s="1"/>
  <c r="E213" i="2"/>
  <c r="K212" i="2"/>
  <c r="I212" i="2"/>
  <c r="G212" i="2"/>
  <c r="H212" i="2" s="1"/>
  <c r="E212" i="2"/>
  <c r="I211" i="2"/>
  <c r="F211" i="2"/>
  <c r="G211" i="2" s="1"/>
  <c r="E211" i="2"/>
  <c r="I210" i="2"/>
  <c r="F210" i="2"/>
  <c r="G210" i="2" s="1"/>
  <c r="H210" i="2" s="1"/>
  <c r="E210" i="2"/>
  <c r="I209" i="2"/>
  <c r="F209" i="2"/>
  <c r="G209" i="2" s="1"/>
  <c r="H209" i="2" s="1"/>
  <c r="E209" i="2"/>
  <c r="L205" i="2"/>
  <c r="G204" i="2"/>
  <c r="F204" i="2"/>
  <c r="K204" i="2" s="1"/>
  <c r="E204" i="2"/>
  <c r="G203" i="2"/>
  <c r="F203" i="2"/>
  <c r="K203" i="2" s="1"/>
  <c r="E203" i="2"/>
  <c r="G202" i="2"/>
  <c r="F202" i="2"/>
  <c r="K202" i="2" s="1"/>
  <c r="E202" i="2"/>
  <c r="G201" i="2"/>
  <c r="F201" i="2"/>
  <c r="K201" i="2" s="1"/>
  <c r="E201" i="2"/>
  <c r="C201" i="2"/>
  <c r="B201" i="2"/>
  <c r="A201" i="2"/>
  <c r="L196" i="2"/>
  <c r="E195" i="2"/>
  <c r="E194" i="2"/>
  <c r="E193" i="2"/>
  <c r="E192" i="2"/>
  <c r="C192" i="2"/>
  <c r="B192" i="2"/>
  <c r="A192" i="2"/>
  <c r="L188" i="2"/>
  <c r="E187" i="2"/>
  <c r="E186" i="2"/>
  <c r="K185" i="2"/>
  <c r="E185" i="2"/>
  <c r="K184" i="2"/>
  <c r="H184" i="2"/>
  <c r="G184" i="2"/>
  <c r="J184" i="2" s="1"/>
  <c r="E184" i="2"/>
  <c r="C184" i="2"/>
  <c r="F187" i="2" s="1"/>
  <c r="B184" i="2"/>
  <c r="A184" i="2"/>
  <c r="L180" i="2"/>
  <c r="E179" i="2"/>
  <c r="E178" i="2"/>
  <c r="K177" i="2"/>
  <c r="E177" i="2"/>
  <c r="K176" i="2"/>
  <c r="E176" i="2"/>
  <c r="C176" i="2"/>
  <c r="B176" i="2"/>
  <c r="A176" i="2"/>
  <c r="L172" i="2"/>
  <c r="E171" i="2"/>
  <c r="E170" i="2"/>
  <c r="K169" i="2"/>
  <c r="E169" i="2"/>
  <c r="K168" i="2"/>
  <c r="H168" i="2"/>
  <c r="G168" i="2"/>
  <c r="J168" i="2" s="1"/>
  <c r="E168" i="2"/>
  <c r="C168" i="2"/>
  <c r="F171" i="2" s="1"/>
  <c r="B168" i="2"/>
  <c r="A168" i="2"/>
  <c r="L164" i="2"/>
  <c r="E163" i="2"/>
  <c r="E162" i="2"/>
  <c r="E161" i="2"/>
  <c r="E160" i="2"/>
  <c r="C160" i="2"/>
  <c r="B160" i="2"/>
  <c r="A160" i="2"/>
  <c r="L156" i="2"/>
  <c r="E155" i="2"/>
  <c r="E154" i="2"/>
  <c r="K153" i="2"/>
  <c r="E153" i="2"/>
  <c r="K152" i="2"/>
  <c r="H152" i="2"/>
  <c r="G152" i="2"/>
  <c r="J152" i="2" s="1"/>
  <c r="E152" i="2"/>
  <c r="C152" i="2"/>
  <c r="F155" i="2" s="1"/>
  <c r="B152" i="2"/>
  <c r="A152" i="2"/>
  <c r="L148" i="2"/>
  <c r="E147" i="2"/>
  <c r="E146" i="2"/>
  <c r="K145" i="2"/>
  <c r="G145" i="2"/>
  <c r="H145" i="2" s="1"/>
  <c r="E145" i="2"/>
  <c r="K144" i="2"/>
  <c r="E144" i="2"/>
  <c r="C144" i="2"/>
  <c r="G144" i="2" s="1"/>
  <c r="H144" i="2" s="1"/>
  <c r="B144" i="2"/>
  <c r="A144" i="2"/>
  <c r="L140" i="2"/>
  <c r="G139" i="2"/>
  <c r="F139" i="2"/>
  <c r="K139" i="2" s="1"/>
  <c r="E139" i="2"/>
  <c r="G138" i="2"/>
  <c r="F138" i="2"/>
  <c r="K138" i="2" s="1"/>
  <c r="E138" i="2"/>
  <c r="K137" i="2"/>
  <c r="E137" i="2"/>
  <c r="K136" i="2"/>
  <c r="E136" i="2"/>
  <c r="C136" i="2"/>
  <c r="G136" i="2" s="1"/>
  <c r="H136" i="2" s="1"/>
  <c r="B136" i="2"/>
  <c r="A136" i="2"/>
  <c r="L132" i="2"/>
  <c r="F131" i="2"/>
  <c r="K131" i="2" s="1"/>
  <c r="E131" i="2"/>
  <c r="F130" i="2"/>
  <c r="K130" i="2" s="1"/>
  <c r="E130" i="2"/>
  <c r="K129" i="2"/>
  <c r="G129" i="2"/>
  <c r="E129" i="2"/>
  <c r="K128" i="2"/>
  <c r="E128" i="2"/>
  <c r="C128" i="2"/>
  <c r="G128" i="2" s="1"/>
  <c r="B128" i="2"/>
  <c r="A128" i="2"/>
  <c r="L124" i="2"/>
  <c r="E123" i="2"/>
  <c r="E122" i="2"/>
  <c r="K121" i="2"/>
  <c r="E121" i="2"/>
  <c r="K120" i="2"/>
  <c r="G120" i="2"/>
  <c r="J120" i="2" s="1"/>
  <c r="E120" i="2"/>
  <c r="C120" i="2"/>
  <c r="F123" i="2" s="1"/>
  <c r="B120" i="2"/>
  <c r="A120" i="2"/>
  <c r="L116" i="2"/>
  <c r="K115" i="2"/>
  <c r="G115" i="2"/>
  <c r="H115" i="2" s="1"/>
  <c r="F115" i="2"/>
  <c r="E115" i="2"/>
  <c r="K114" i="2"/>
  <c r="G114" i="2"/>
  <c r="H114" i="2" s="1"/>
  <c r="F114" i="2"/>
  <c r="E114" i="2"/>
  <c r="K113" i="2"/>
  <c r="F113" i="2"/>
  <c r="G113" i="2" s="1"/>
  <c r="H113" i="2" s="1"/>
  <c r="E113" i="2"/>
  <c r="K112" i="2"/>
  <c r="F112" i="2"/>
  <c r="G112" i="2" s="1"/>
  <c r="H112" i="2" s="1"/>
  <c r="E112" i="2"/>
  <c r="B112" i="2"/>
  <c r="A112" i="2"/>
  <c r="L108" i="2"/>
  <c r="F107" i="2"/>
  <c r="E107" i="2"/>
  <c r="F106" i="2"/>
  <c r="E106" i="2"/>
  <c r="F105" i="2"/>
  <c r="E105" i="2"/>
  <c r="F104" i="2"/>
  <c r="E104" i="2"/>
  <c r="C104" i="2"/>
  <c r="A104" i="2"/>
  <c r="L100" i="2"/>
  <c r="E99" i="2"/>
  <c r="E98" i="2"/>
  <c r="E97" i="2"/>
  <c r="E96" i="2"/>
  <c r="C96" i="2"/>
  <c r="F99" i="2" s="1"/>
  <c r="B96" i="2"/>
  <c r="A96" i="2"/>
  <c r="L92" i="2"/>
  <c r="F91" i="2"/>
  <c r="K91" i="2" s="1"/>
  <c r="E91" i="2"/>
  <c r="F90" i="2"/>
  <c r="K90" i="2" s="1"/>
  <c r="E90" i="2"/>
  <c r="K89" i="2"/>
  <c r="G89" i="2"/>
  <c r="E89" i="2"/>
  <c r="K88" i="2"/>
  <c r="E88" i="2"/>
  <c r="C88" i="2"/>
  <c r="G88" i="2" s="1"/>
  <c r="B88" i="2"/>
  <c r="A88" i="2"/>
  <c r="L84" i="2"/>
  <c r="E83" i="2"/>
  <c r="E82" i="2"/>
  <c r="E81" i="2"/>
  <c r="E80" i="2"/>
  <c r="K79" i="2"/>
  <c r="E79" i="2"/>
  <c r="K78" i="2"/>
  <c r="G78" i="2"/>
  <c r="J78" i="2" s="1"/>
  <c r="E78" i="2"/>
  <c r="C78" i="2"/>
  <c r="F83" i="2" s="1"/>
  <c r="B78" i="2"/>
  <c r="A78" i="2"/>
  <c r="L74" i="2"/>
  <c r="K73" i="2"/>
  <c r="G73" i="2"/>
  <c r="F73" i="2"/>
  <c r="E73" i="2"/>
  <c r="K72" i="2"/>
  <c r="G72" i="2"/>
  <c r="F72" i="2"/>
  <c r="E72" i="2"/>
  <c r="K71" i="2"/>
  <c r="G71" i="2"/>
  <c r="F71" i="2"/>
  <c r="E71" i="2"/>
  <c r="K70" i="2"/>
  <c r="G70" i="2"/>
  <c r="F70" i="2"/>
  <c r="E70" i="2"/>
  <c r="K69" i="2"/>
  <c r="G69" i="2"/>
  <c r="E69" i="2"/>
  <c r="K68" i="2"/>
  <c r="J68" i="2"/>
  <c r="G68" i="2"/>
  <c r="H68" i="2" s="1"/>
  <c r="E68" i="2"/>
  <c r="B68" i="2"/>
  <c r="A68" i="2"/>
  <c r="L64" i="2"/>
  <c r="K63" i="2"/>
  <c r="F63" i="2"/>
  <c r="G63" i="2" s="1"/>
  <c r="J63" i="2" s="1"/>
  <c r="E63" i="2"/>
  <c r="E62" i="2"/>
  <c r="F61" i="2"/>
  <c r="E61" i="2"/>
  <c r="E60" i="2"/>
  <c r="F59" i="2"/>
  <c r="E59" i="2"/>
  <c r="K58" i="2"/>
  <c r="H58" i="2"/>
  <c r="G58" i="2"/>
  <c r="J58" i="2" s="1"/>
  <c r="E58" i="2"/>
  <c r="K57" i="2"/>
  <c r="G57" i="2"/>
  <c r="E57" i="2"/>
  <c r="C57" i="2"/>
  <c r="F62" i="2" s="1"/>
  <c r="B57" i="2"/>
  <c r="A57" i="2"/>
  <c r="L53" i="2"/>
  <c r="K52" i="2"/>
  <c r="E52" i="2"/>
  <c r="E51" i="2"/>
  <c r="E50" i="2"/>
  <c r="E49" i="2"/>
  <c r="E48" i="2"/>
  <c r="K47" i="2"/>
  <c r="G47" i="2"/>
  <c r="J47" i="2" s="1"/>
  <c r="E47" i="2"/>
  <c r="K46" i="2"/>
  <c r="G46" i="2"/>
  <c r="H46" i="2" s="1"/>
  <c r="E46" i="2"/>
  <c r="C46" i="2"/>
  <c r="F52" i="2" s="1"/>
  <c r="G52" i="2" s="1"/>
  <c r="B46" i="2"/>
  <c r="A46" i="2"/>
  <c r="L42" i="2"/>
  <c r="F41" i="2"/>
  <c r="K41" i="2" s="1"/>
  <c r="E41" i="2"/>
  <c r="F40" i="2"/>
  <c r="K40" i="2" s="1"/>
  <c r="E40" i="2"/>
  <c r="E39" i="2"/>
  <c r="K38" i="2"/>
  <c r="F38" i="2"/>
  <c r="G38" i="2" s="1"/>
  <c r="E38" i="2"/>
  <c r="K37" i="2"/>
  <c r="J37" i="2"/>
  <c r="G37" i="2"/>
  <c r="H37" i="2" s="1"/>
  <c r="E37" i="2"/>
  <c r="K36" i="2"/>
  <c r="J36" i="2"/>
  <c r="H36" i="2"/>
  <c r="G36" i="2"/>
  <c r="E36" i="2"/>
  <c r="C36" i="2"/>
  <c r="F39" i="2" s="1"/>
  <c r="B36" i="2"/>
  <c r="A36" i="2"/>
  <c r="L32" i="2"/>
  <c r="E31" i="2"/>
  <c r="E30" i="2"/>
  <c r="E29" i="2"/>
  <c r="E28" i="2"/>
  <c r="K27" i="2"/>
  <c r="J27" i="2"/>
  <c r="G27" i="2"/>
  <c r="H27" i="2" s="1"/>
  <c r="E27" i="2"/>
  <c r="K26" i="2"/>
  <c r="J26" i="2"/>
  <c r="H26" i="2"/>
  <c r="G26" i="2"/>
  <c r="E26" i="2"/>
  <c r="C26" i="2"/>
  <c r="F31" i="2" s="1"/>
  <c r="B26" i="2"/>
  <c r="A26" i="2"/>
  <c r="L22" i="2"/>
  <c r="E21" i="2"/>
  <c r="E20" i="2"/>
  <c r="E19" i="2"/>
  <c r="E18" i="2"/>
  <c r="E17" i="2"/>
  <c r="K16" i="2"/>
  <c r="J16" i="2"/>
  <c r="H16" i="2"/>
  <c r="G16" i="2"/>
  <c r="E16" i="2"/>
  <c r="K15" i="2"/>
  <c r="G15" i="2"/>
  <c r="H15" i="2" s="1"/>
  <c r="E15" i="2"/>
  <c r="C15" i="2"/>
  <c r="F21" i="2" s="1"/>
  <c r="B15" i="2"/>
  <c r="A15" i="2"/>
  <c r="L11" i="2"/>
  <c r="E10" i="2"/>
  <c r="E9" i="2"/>
  <c r="E8" i="2"/>
  <c r="E7" i="2"/>
  <c r="E6" i="2"/>
  <c r="K5" i="2"/>
  <c r="G5" i="2"/>
  <c r="J5" i="2" s="1"/>
  <c r="E5" i="2"/>
  <c r="K4" i="2"/>
  <c r="G4" i="2"/>
  <c r="J4" i="2" s="1"/>
  <c r="E4" i="2"/>
  <c r="C4" i="2"/>
  <c r="F10" i="2" s="1"/>
  <c r="B4" i="2"/>
  <c r="A4" i="2"/>
  <c r="K31" i="2" l="1"/>
  <c r="G31" i="2"/>
  <c r="G62" i="2"/>
  <c r="K62" i="2"/>
  <c r="G21" i="2"/>
  <c r="K21" i="2"/>
  <c r="J52" i="2"/>
  <c r="H52" i="2"/>
  <c r="K10" i="2"/>
  <c r="G10" i="2"/>
  <c r="H38" i="2"/>
  <c r="J38" i="2"/>
  <c r="G39" i="2"/>
  <c r="K39" i="2"/>
  <c r="G59" i="2"/>
  <c r="K59" i="2"/>
  <c r="G61" i="2"/>
  <c r="K61" i="2"/>
  <c r="J89" i="2"/>
  <c r="H89" i="2"/>
  <c r="G105" i="2"/>
  <c r="K105" i="2"/>
  <c r="J138" i="2"/>
  <c r="H138" i="2"/>
  <c r="J201" i="2"/>
  <c r="H201" i="2"/>
  <c r="J203" i="2"/>
  <c r="H203" i="2"/>
  <c r="H211" i="2"/>
  <c r="J211" i="2"/>
  <c r="G241" i="2"/>
  <c r="F240" i="2"/>
  <c r="F239" i="2"/>
  <c r="H5" i="2"/>
  <c r="F17" i="2"/>
  <c r="F18" i="2"/>
  <c r="F19" i="2"/>
  <c r="F20" i="2"/>
  <c r="H63" i="2"/>
  <c r="H71" i="2"/>
  <c r="J71" i="2"/>
  <c r="G91" i="2"/>
  <c r="F6" i="2"/>
  <c r="F7" i="2"/>
  <c r="F8" i="2"/>
  <c r="F9" i="2"/>
  <c r="J15" i="2"/>
  <c r="H57" i="2"/>
  <c r="J57" i="2"/>
  <c r="H69" i="2"/>
  <c r="J69" i="2"/>
  <c r="H72" i="2"/>
  <c r="J72" i="2"/>
  <c r="H78" i="2"/>
  <c r="K99" i="2"/>
  <c r="G99" i="2"/>
  <c r="H120" i="2"/>
  <c r="G222" i="2"/>
  <c r="K222" i="2"/>
  <c r="G229" i="2"/>
  <c r="K229" i="2"/>
  <c r="G235" i="2"/>
  <c r="K235" i="2"/>
  <c r="G41" i="2"/>
  <c r="G131" i="2"/>
  <c r="K209" i="2"/>
  <c r="G220" i="2"/>
  <c r="K220" i="2"/>
  <c r="G227" i="2"/>
  <c r="K227" i="2"/>
  <c r="G233" i="2"/>
  <c r="K233" i="2"/>
  <c r="H4" i="2"/>
  <c r="G40" i="2"/>
  <c r="H47" i="2"/>
  <c r="K83" i="2"/>
  <c r="G83" i="2"/>
  <c r="J88" i="2"/>
  <c r="H88" i="2"/>
  <c r="G106" i="2"/>
  <c r="K106" i="2"/>
  <c r="K123" i="2"/>
  <c r="G123" i="2"/>
  <c r="J128" i="2"/>
  <c r="H128" i="2"/>
  <c r="K211" i="2"/>
  <c r="G246" i="2"/>
  <c r="F246" i="2"/>
  <c r="K246" i="2" s="1"/>
  <c r="G247" i="2"/>
  <c r="H247" i="2" s="1"/>
  <c r="H248" i="2"/>
  <c r="F28" i="2"/>
  <c r="F29" i="2"/>
  <c r="F30" i="2"/>
  <c r="F60" i="2"/>
  <c r="H70" i="2"/>
  <c r="J70" i="2"/>
  <c r="H73" i="2"/>
  <c r="J73" i="2"/>
  <c r="J139" i="2"/>
  <c r="H139" i="2"/>
  <c r="J144" i="2"/>
  <c r="K155" i="2"/>
  <c r="G155" i="2"/>
  <c r="F163" i="2"/>
  <c r="F162" i="2"/>
  <c r="F161" i="2"/>
  <c r="F160" i="2"/>
  <c r="K171" i="2"/>
  <c r="G171" i="2"/>
  <c r="F179" i="2"/>
  <c r="F178" i="2"/>
  <c r="F177" i="2"/>
  <c r="G177" i="2" s="1"/>
  <c r="F176" i="2"/>
  <c r="G176" i="2" s="1"/>
  <c r="K187" i="2"/>
  <c r="G187" i="2"/>
  <c r="F195" i="2"/>
  <c r="F194" i="2"/>
  <c r="F193" i="2"/>
  <c r="F192" i="2"/>
  <c r="J202" i="2"/>
  <c r="H202" i="2"/>
  <c r="J204" i="2"/>
  <c r="H204" i="2"/>
  <c r="J215" i="2"/>
  <c r="H215" i="2"/>
  <c r="G221" i="2"/>
  <c r="K221" i="2"/>
  <c r="G228" i="2"/>
  <c r="K228" i="2"/>
  <c r="G234" i="2"/>
  <c r="K234" i="2"/>
  <c r="J129" i="2"/>
  <c r="H129" i="2"/>
  <c r="J46" i="2"/>
  <c r="G90" i="2"/>
  <c r="G104" i="2"/>
  <c r="K104" i="2"/>
  <c r="G107" i="2"/>
  <c r="K107" i="2"/>
  <c r="G130" i="2"/>
  <c r="K210" i="2"/>
  <c r="F48" i="2"/>
  <c r="F49" i="2"/>
  <c r="F50" i="2"/>
  <c r="F51" i="2"/>
  <c r="G79" i="2"/>
  <c r="J114" i="2"/>
  <c r="J115" i="2"/>
  <c r="G121" i="2"/>
  <c r="J145" i="2"/>
  <c r="G153" i="2"/>
  <c r="G169" i="2"/>
  <c r="G185" i="2"/>
  <c r="J212" i="2"/>
  <c r="J213" i="2"/>
  <c r="G137" i="2"/>
  <c r="H137" i="2" s="1"/>
  <c r="F146" i="2"/>
  <c r="F147" i="2"/>
  <c r="H214" i="2"/>
  <c r="F80" i="2"/>
  <c r="F81" i="2"/>
  <c r="F82" i="2"/>
  <c r="F96" i="2"/>
  <c r="F97" i="2"/>
  <c r="F98" i="2"/>
  <c r="F122" i="2"/>
  <c r="F154" i="2"/>
  <c r="F170" i="2"/>
  <c r="F186" i="2"/>
  <c r="K81" i="2" l="1"/>
  <c r="G81" i="2"/>
  <c r="J121" i="2"/>
  <c r="H121" i="2"/>
  <c r="H176" i="2"/>
  <c r="J176" i="2"/>
  <c r="J123" i="2"/>
  <c r="H123" i="2"/>
  <c r="J233" i="2"/>
  <c r="H233" i="2"/>
  <c r="G17" i="2"/>
  <c r="K17" i="2"/>
  <c r="J21" i="2"/>
  <c r="H21" i="2"/>
  <c r="K122" i="2"/>
  <c r="G122" i="2"/>
  <c r="K48" i="2"/>
  <c r="G48" i="2"/>
  <c r="J104" i="2"/>
  <c r="H104" i="2"/>
  <c r="J234" i="2"/>
  <c r="H234" i="2"/>
  <c r="G193" i="2"/>
  <c r="K193" i="2"/>
  <c r="H177" i="2"/>
  <c r="J177" i="2"/>
  <c r="G161" i="2"/>
  <c r="K161" i="2"/>
  <c r="G60" i="2"/>
  <c r="K60" i="2"/>
  <c r="J222" i="2"/>
  <c r="H222" i="2"/>
  <c r="G9" i="2"/>
  <c r="K9" i="2"/>
  <c r="K98" i="2"/>
  <c r="G98" i="2"/>
  <c r="J185" i="2"/>
  <c r="H185" i="2"/>
  <c r="J90" i="2"/>
  <c r="H90" i="2"/>
  <c r="G194" i="2"/>
  <c r="K194" i="2"/>
  <c r="G178" i="2"/>
  <c r="K178" i="2"/>
  <c r="G162" i="2"/>
  <c r="K162" i="2"/>
  <c r="G30" i="2"/>
  <c r="K30" i="2"/>
  <c r="J227" i="2"/>
  <c r="H227" i="2"/>
  <c r="K8" i="2"/>
  <c r="G8" i="2"/>
  <c r="G239" i="2"/>
  <c r="K239" i="2"/>
  <c r="J105" i="2"/>
  <c r="H105" i="2"/>
  <c r="J59" i="2"/>
  <c r="H59" i="2"/>
  <c r="J62" i="2"/>
  <c r="H62" i="2"/>
  <c r="K97" i="2"/>
  <c r="G97" i="2"/>
  <c r="G147" i="2"/>
  <c r="K147" i="2"/>
  <c r="J169" i="2"/>
  <c r="H169" i="2"/>
  <c r="J79" i="2"/>
  <c r="H79" i="2"/>
  <c r="J130" i="2"/>
  <c r="H130" i="2"/>
  <c r="J228" i="2"/>
  <c r="H228" i="2"/>
  <c r="G195" i="2"/>
  <c r="K195" i="2"/>
  <c r="G179" i="2"/>
  <c r="K179" i="2"/>
  <c r="G163" i="2"/>
  <c r="K163" i="2"/>
  <c r="G29" i="2"/>
  <c r="K29" i="2"/>
  <c r="J106" i="2"/>
  <c r="H106" i="2"/>
  <c r="H40" i="2"/>
  <c r="J40" i="2"/>
  <c r="J235" i="2"/>
  <c r="H235" i="2"/>
  <c r="H99" i="2"/>
  <c r="J99" i="2"/>
  <c r="G7" i="2"/>
  <c r="K7" i="2"/>
  <c r="G20" i="2"/>
  <c r="K20" i="2"/>
  <c r="G240" i="2"/>
  <c r="K240" i="2"/>
  <c r="H31" i="2"/>
  <c r="J31" i="2"/>
  <c r="K186" i="2"/>
  <c r="G186" i="2"/>
  <c r="K96" i="2"/>
  <c r="G96" i="2"/>
  <c r="G146" i="2"/>
  <c r="K146" i="2"/>
  <c r="J153" i="2"/>
  <c r="H153" i="2"/>
  <c r="K51" i="2"/>
  <c r="G51" i="2"/>
  <c r="H187" i="2"/>
  <c r="J187" i="2"/>
  <c r="H171" i="2"/>
  <c r="J171" i="2"/>
  <c r="H155" i="2"/>
  <c r="J155" i="2"/>
  <c r="G28" i="2"/>
  <c r="K28" i="2"/>
  <c r="J220" i="2"/>
  <c r="H220" i="2"/>
  <c r="K6" i="2"/>
  <c r="G6" i="2"/>
  <c r="G19" i="2"/>
  <c r="K19" i="2"/>
  <c r="J241" i="2"/>
  <c r="H241" i="2"/>
  <c r="H39" i="2"/>
  <c r="J39" i="2"/>
  <c r="K170" i="2"/>
  <c r="G170" i="2"/>
  <c r="K82" i="2"/>
  <c r="G82" i="2"/>
  <c r="K50" i="2"/>
  <c r="G50" i="2"/>
  <c r="J107" i="2"/>
  <c r="H107" i="2"/>
  <c r="J221" i="2"/>
  <c r="H221" i="2"/>
  <c r="J229" i="2"/>
  <c r="H229" i="2"/>
  <c r="J91" i="2"/>
  <c r="H91" i="2"/>
  <c r="G18" i="2"/>
  <c r="K18" i="2"/>
  <c r="G49" i="2"/>
  <c r="K49" i="2"/>
  <c r="G160" i="2"/>
  <c r="K160" i="2"/>
  <c r="K154" i="2"/>
  <c r="G154" i="2"/>
  <c r="J131" i="2"/>
  <c r="H131" i="2"/>
  <c r="J61" i="2"/>
  <c r="H61" i="2"/>
  <c r="K80" i="2"/>
  <c r="G80" i="2"/>
  <c r="G192" i="2"/>
  <c r="K192" i="2"/>
  <c r="J83" i="2"/>
  <c r="H83" i="2"/>
  <c r="H41" i="2"/>
  <c r="J41" i="2"/>
  <c r="J10" i="2"/>
  <c r="H10" i="2"/>
  <c r="J19" i="2" l="1"/>
  <c r="H19" i="2"/>
  <c r="H30" i="2"/>
  <c r="J30" i="2"/>
  <c r="J17" i="2"/>
  <c r="H17" i="2"/>
  <c r="J6" i="2"/>
  <c r="H6" i="2"/>
  <c r="H147" i="2"/>
  <c r="J147" i="2"/>
  <c r="H162" i="2"/>
  <c r="J162" i="2"/>
  <c r="J82" i="2"/>
  <c r="H82" i="2"/>
  <c r="J186" i="2"/>
  <c r="H186" i="2"/>
  <c r="J81" i="2"/>
  <c r="H81" i="2"/>
  <c r="J170" i="2"/>
  <c r="H170" i="2"/>
  <c r="J98" i="2"/>
  <c r="H98" i="2"/>
  <c r="J48" i="2"/>
  <c r="H48" i="2"/>
  <c r="J28" i="2"/>
  <c r="H28" i="2"/>
  <c r="H194" i="2"/>
  <c r="J194" i="2"/>
  <c r="J60" i="2"/>
  <c r="H60" i="2"/>
  <c r="J51" i="2"/>
  <c r="H51" i="2"/>
  <c r="J8" i="2"/>
  <c r="H8" i="2"/>
  <c r="H122" i="2"/>
  <c r="J122" i="2"/>
  <c r="H160" i="2"/>
  <c r="J160" i="2"/>
  <c r="J96" i="2"/>
  <c r="H96" i="2"/>
  <c r="J49" i="2"/>
  <c r="H49" i="2"/>
  <c r="J9" i="2"/>
  <c r="H9" i="2"/>
  <c r="H146" i="2"/>
  <c r="J146" i="2"/>
  <c r="H163" i="2"/>
  <c r="J163" i="2"/>
  <c r="H239" i="2"/>
  <c r="J239" i="2"/>
  <c r="H179" i="2"/>
  <c r="J179" i="2"/>
  <c r="J80" i="2"/>
  <c r="H80" i="2"/>
  <c r="J7" i="2"/>
  <c r="H7" i="2"/>
  <c r="H193" i="2"/>
  <c r="J193" i="2"/>
  <c r="J50" i="2"/>
  <c r="H50" i="2"/>
  <c r="H192" i="2"/>
  <c r="J192" i="2"/>
  <c r="H240" i="2"/>
  <c r="J240" i="2"/>
  <c r="H161" i="2"/>
  <c r="J161" i="2"/>
  <c r="J154" i="2"/>
  <c r="H154" i="2"/>
  <c r="H97" i="2"/>
  <c r="J97" i="2"/>
  <c r="J18" i="2"/>
  <c r="H18" i="2"/>
  <c r="J20" i="2"/>
  <c r="H20" i="2"/>
  <c r="H29" i="2"/>
  <c r="J29" i="2"/>
  <c r="H195" i="2"/>
  <c r="J195" i="2"/>
  <c r="H178" i="2"/>
  <c r="J17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DAICY XIOMARA BAEZA</author>
  </authors>
  <commentList>
    <comment ref="P209" authorId="0" shapeId="0" xr:uid="{140D6CF5-592A-421A-9068-C4A6DD10B795}">
      <text>
        <r>
          <rPr>
            <b/>
            <sz val="9"/>
            <color indexed="81"/>
            <rFont val="Tahoma"/>
            <family val="2"/>
          </rPr>
          <t>DAICY XIOMARA BAEZA: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<sst xmlns="http://schemas.openxmlformats.org/spreadsheetml/2006/main" count="406" uniqueCount="36">
  <si>
    <t>ESCUELAS DEPORTIVAS</t>
  </si>
  <si>
    <t>SERVICIO :  RECREACIÓN</t>
  </si>
  <si>
    <t xml:space="preserve">PROGRAMA </t>
  </si>
  <si>
    <t>ACTIVIDAD</t>
  </si>
  <si>
    <t xml:space="preserve">COSTO UNITARIO DE LA ACTIVIDAD </t>
  </si>
  <si>
    <t>CATEGORÍA</t>
  </si>
  <si>
    <t>TARIFA 2021</t>
  </si>
  <si>
    <t xml:space="preserve">DIFERENCIA   TARIFA  - COSTO  UNITARIO  </t>
  </si>
  <si>
    <t>% UTILIDAD</t>
  </si>
  <si>
    <t>TARIFA  ANTERIOR 2020</t>
  </si>
  <si>
    <t xml:space="preserve">% SUBSIDIO </t>
  </si>
  <si>
    <t xml:space="preserve">% VARIACIÓN TARIFA </t>
  </si>
  <si>
    <t>USUARIOS POR CATEGORÍA (ANUAL)</t>
  </si>
  <si>
    <t>TOTAL COBERTURA  AÑO</t>
  </si>
  <si>
    <t>NA</t>
  </si>
  <si>
    <t xml:space="preserve">PASADIAS SANTANDER </t>
  </si>
  <si>
    <t>TARIFA 2020</t>
  </si>
  <si>
    <t>SERVICIO :  TURISMO</t>
  </si>
  <si>
    <t>Paquetes turísticos</t>
  </si>
  <si>
    <t>Tours (Costa atlántica, Medellín y Boyacá)</t>
  </si>
  <si>
    <t>Gimnasio</t>
  </si>
  <si>
    <t>Suscripción en gimnasio por convenio</t>
  </si>
  <si>
    <t>Otros eventos de tipo social</t>
  </si>
  <si>
    <t>Recarga tarjeta de juegos en convenio</t>
  </si>
  <si>
    <t>SERVICIO :  CULTURA</t>
  </si>
  <si>
    <t>Cine y Teatro</t>
  </si>
  <si>
    <t>Boleta entrada a cine en convenio</t>
  </si>
  <si>
    <t>SERVICIO :  CENTRO RECREATIVO JOSE JOAQUIN BOHORQUEZ CAFABA</t>
  </si>
  <si>
    <t xml:space="preserve">Actividad </t>
  </si>
  <si>
    <t>CATEGORIA</t>
  </si>
  <si>
    <t>TARIFA $</t>
  </si>
  <si>
    <t xml:space="preserve"> DIFERENCIA   TARIFA  - COSTO  UNITARIO  </t>
  </si>
  <si>
    <t>RECREACION</t>
  </si>
  <si>
    <t xml:space="preserve"> SERVICIO DE INGRESO   PARA CAMPAR </t>
  </si>
  <si>
    <t>D</t>
  </si>
  <si>
    <t>(D) NO AFILIADO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</si>
</sst>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[$ $]#,##0"/>
    <numFmt numFmtId="165" formatCode="&quot;$&quot;\ #,##0"/>
    <numFmt numFmtId="166" formatCode="0.0%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0" fontId="0" fillId="0" borderId="2" xfId="0" applyBorder="1"/>
    <xf numFmtId="164" fontId="0" fillId="0" borderId="0" xfId="0" applyNumberFormat="1" applyBorder="1"/>
    <xf numFmtId="3" fontId="3" fillId="2" borderId="1" xfId="0" applyNumberFormat="1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Border="1"/>
    <xf numFmtId="0" fontId="6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10" fontId="6" fillId="0" borderId="1" xfId="0" applyNumberFormat="1" applyFont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2" borderId="0" xfId="0" applyFont="1" applyFill="1" applyBorder="1"/>
    <xf numFmtId="165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/>
    <xf numFmtId="3" fontId="7" fillId="0" borderId="0" xfId="0" applyNumberFormat="1" applyFont="1" applyFill="1" applyBorder="1"/>
    <xf numFmtId="3" fontId="6" fillId="0" borderId="1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6" fillId="0" borderId="1" xfId="0" applyFont="1" applyBorder="1" applyAlignment="1">
      <alignment horizontal="center" vertical="top"/>
    </xf>
    <xf numFmtId="164" fontId="0" fillId="0" borderId="2" xfId="0" applyNumberFormat="1" applyBorder="1"/>
    <xf numFmtId="164" fontId="8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 vertical="center" wrapText="1" readingOrder="1"/>
    </xf>
    <xf numFmtId="41" fontId="1" fillId="0" borderId="0" xfId="2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/>
    <xf numFmtId="0" fontId="5" fillId="0" borderId="0" xfId="0" applyFont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right"/>
    </xf>
    <xf numFmtId="3" fontId="0" fillId="0" borderId="0" xfId="0" applyNumberFormat="1" applyBorder="1"/>
    <xf numFmtId="0" fontId="8" fillId="0" borderId="1" xfId="0" applyFont="1" applyBorder="1"/>
    <xf numFmtId="164" fontId="4" fillId="0" borderId="1" xfId="0" applyNumberFormat="1" applyFont="1" applyBorder="1"/>
    <xf numFmtId="10" fontId="4" fillId="0" borderId="1" xfId="0" applyNumberFormat="1" applyFont="1" applyBorder="1"/>
    <xf numFmtId="0" fontId="8" fillId="0" borderId="0" xfId="0" applyFont="1"/>
    <xf numFmtId="0" fontId="8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3" fontId="10" fillId="0" borderId="1" xfId="0" applyNumberFormat="1" applyFont="1" applyBorder="1"/>
    <xf numFmtId="3" fontId="10" fillId="0" borderId="0" xfId="0" applyNumberFormat="1" applyFont="1" applyBorder="1"/>
    <xf numFmtId="0" fontId="3" fillId="0" borderId="1" xfId="0" applyFont="1" applyBorder="1"/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0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0" fontId="3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167" fontId="9" fillId="2" borderId="1" xfId="1" applyNumberFormat="1" applyFont="1" applyFill="1" applyBorder="1" applyAlignment="1" applyProtection="1">
      <alignment horizontal="left" vertical="center" wrapText="1" readingOrder="1"/>
      <protection locked="0"/>
    </xf>
    <xf numFmtId="167" fontId="9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" xfId="0" applyNumberFormat="1" applyFont="1" applyBorder="1"/>
    <xf numFmtId="3" fontId="11" fillId="0" borderId="0" xfId="0" applyNumberFormat="1" applyFont="1" applyBorder="1"/>
    <xf numFmtId="164" fontId="7" fillId="2" borderId="1" xfId="0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 applyProtection="1">
      <alignment horizontal="left" vertical="center" wrapText="1" readingOrder="1"/>
      <protection locked="0"/>
    </xf>
    <xf numFmtId="3" fontId="2" fillId="0" borderId="1" xfId="0" applyNumberFormat="1" applyFont="1" applyBorder="1"/>
    <xf numFmtId="3" fontId="2" fillId="0" borderId="0" xfId="0" applyNumberFormat="1" applyFont="1" applyBorder="1"/>
    <xf numFmtId="41" fontId="2" fillId="0" borderId="0" xfId="2" applyFont="1" applyBorder="1"/>
    <xf numFmtId="165" fontId="2" fillId="0" borderId="0" xfId="0" applyNumberFormat="1" applyFon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Compras/Downloads/2020.07.21%20COSTEO%20TARIFAS%20(PRESUPUESTO)%20v3%20presentaci&#243;n%20consejo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CARGAS/TARIFAS%20RECREACION%20DEPORTES%20Y%20TURISM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PPTO APROBADO RECREACION"/>
      <sheetName val="PPTO APROBADO TURISMO"/>
      <sheetName val="ASIGNACIÓN PPTO"/>
      <sheetName val="NUEVOS SERVICIOS"/>
      <sheetName val="TARIFAS"/>
      <sheetName val="RESUMEN SERVICIOS"/>
      <sheetName val="SALARIOS"/>
      <sheetName val="Tabla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ENTRADAS</v>
          </cell>
        </row>
        <row r="3">
          <cell r="A3" t="str">
            <v>PISCINAS</v>
          </cell>
        </row>
        <row r="4">
          <cell r="A4" t="str">
            <v>BILLAR</v>
          </cell>
        </row>
        <row r="5">
          <cell r="A5" t="str">
            <v>PING PONG</v>
          </cell>
        </row>
        <row r="6">
          <cell r="A6" t="str">
            <v>AUDITORIO/KIOSKO 
(hora)</v>
          </cell>
        </row>
        <row r="7">
          <cell r="A7" t="str">
            <v>SALON SOCIAL 
(hora)</v>
          </cell>
        </row>
        <row r="8">
          <cell r="A8" t="str">
            <v>OTRAS CANCHAS 
(hora)</v>
          </cell>
        </row>
        <row r="9">
          <cell r="A9" t="str">
            <v>SINTÉTICA (hora)</v>
          </cell>
        </row>
        <row r="10">
          <cell r="A10" t="str">
            <v>CURSOS DEPORTIVOS</v>
          </cell>
        </row>
        <row r="11">
          <cell r="A11" t="str">
            <v>VACACIONES RECREATIVAS</v>
          </cell>
        </row>
        <row r="13">
          <cell r="A13" t="str">
            <v>PASADÍA NÁPOLES</v>
          </cell>
        </row>
        <row r="14">
          <cell r="A14" t="str">
            <v>TRANSPORTE BCA</v>
          </cell>
        </row>
        <row r="15">
          <cell r="A15" t="str">
            <v xml:space="preserve">TRANSPORTE  P. WILCHES </v>
          </cell>
        </row>
        <row r="16">
          <cell r="A16" t="str">
            <v>BINGO ESPECIAL</v>
          </cell>
        </row>
        <row r="17">
          <cell r="A17" t="str">
            <v>BINGO SENCILLO</v>
          </cell>
        </row>
        <row r="18">
          <cell r="A18" t="str">
            <v>TALLERES RECREATIVOS</v>
          </cell>
        </row>
        <row r="19">
          <cell r="A19" t="str">
            <v>CURSOS RECREATIVOS</v>
          </cell>
        </row>
        <row r="20">
          <cell r="A20" t="str">
            <v>ATENCIÓN AL AFILIADO</v>
          </cell>
        </row>
        <row r="21">
          <cell r="A21" t="str">
            <v>EVENTOS ESPECIALES</v>
          </cell>
        </row>
        <row r="22">
          <cell r="A22" t="str">
            <v>PASE JUEGOS/CONCURSOS</v>
          </cell>
        </row>
        <row r="23">
          <cell r="A23" t="str">
            <v>OLIMPIADAS Y CAMPEONATOS</v>
          </cell>
        </row>
        <row r="25">
          <cell r="A25" t="str">
            <v>CELEBRACIÓN PLAN ESPECIAL</v>
          </cell>
        </row>
      </sheetData>
      <sheetData sheetId="7" refreshError="1"/>
      <sheetData sheetId="8" refreshError="1">
        <row r="2">
          <cell r="B2" t="str">
            <v>Recreación</v>
          </cell>
        </row>
        <row r="3">
          <cell r="B3" t="str">
            <v>Recreación</v>
          </cell>
        </row>
        <row r="4">
          <cell r="B4" t="str">
            <v>Recreación</v>
          </cell>
        </row>
        <row r="5">
          <cell r="B5" t="str">
            <v>Recreación</v>
          </cell>
        </row>
        <row r="6">
          <cell r="B6" t="str">
            <v>Recreación</v>
          </cell>
        </row>
        <row r="7">
          <cell r="B7" t="str">
            <v>Recreación</v>
          </cell>
        </row>
        <row r="8">
          <cell r="B8" t="str">
            <v>Recreación</v>
          </cell>
        </row>
        <row r="15">
          <cell r="B15">
            <v>1</v>
          </cell>
          <cell r="C15"/>
          <cell r="D15" t="str">
            <v>Afiliados y beneficiarios categoria A</v>
          </cell>
          <cell r="E15" t="str">
            <v>A</v>
          </cell>
        </row>
        <row r="16">
          <cell r="B16">
            <v>2</v>
          </cell>
          <cell r="C16"/>
          <cell r="D16" t="str">
            <v>Afiliados y beneficiarios categoria B</v>
          </cell>
          <cell r="E16" t="str">
            <v>B</v>
          </cell>
        </row>
        <row r="17">
          <cell r="B17">
            <v>3</v>
          </cell>
          <cell r="C17"/>
          <cell r="D17" t="str">
            <v>Representa el costo del servicio C</v>
          </cell>
          <cell r="E17" t="str">
            <v>C</v>
          </cell>
        </row>
        <row r="18">
          <cell r="B18">
            <v>4</v>
          </cell>
          <cell r="C18"/>
          <cell r="D18" t="str">
            <v>D (No afiliados)</v>
          </cell>
          <cell r="E18" t="str">
            <v>Desafiliados</v>
          </cell>
        </row>
        <row r="19">
          <cell r="B19">
            <v>5</v>
          </cell>
          <cell r="C19"/>
          <cell r="D19" t="str">
            <v>Empresas (Servicios contratados por empresas afiliadas o no afiliadas)</v>
          </cell>
          <cell r="E19" t="str">
            <v>Empresas</v>
          </cell>
        </row>
        <row r="20">
          <cell r="B20">
            <v>6</v>
          </cell>
          <cell r="C20"/>
          <cell r="D20" t="str">
            <v>Fondos de Ley (Aplica para reportar la cobertura de los Servicios Sociales a los Fondos de Ley)</v>
          </cell>
          <cell r="E20" t="str">
            <v>Fondos de Ley</v>
          </cell>
        </row>
        <row r="21">
          <cell r="B21">
            <v>7</v>
          </cell>
          <cell r="C21"/>
          <cell r="D21" t="str">
            <v>Alianza Categoría A (Alianzas entre Cajas de Compensación)</v>
          </cell>
          <cell r="E21" t="str">
            <v>Alianza Categoría A</v>
          </cell>
        </row>
        <row r="22">
          <cell r="B22">
            <v>8</v>
          </cell>
          <cell r="C22"/>
          <cell r="D22" t="str">
            <v>Alianza Categoría B (Alianzas entre Cajas de Compensación)</v>
          </cell>
          <cell r="E22" t="str">
            <v>Alianza Categoría B</v>
          </cell>
        </row>
        <row r="23">
          <cell r="B23">
            <v>9</v>
          </cell>
          <cell r="C23"/>
          <cell r="D23" t="str">
            <v>Alianza Categoría C (Alianzas entre Cajas de Compensación)</v>
          </cell>
          <cell r="E23" t="str">
            <v>Alianza Categoría C</v>
          </cell>
        </row>
        <row r="24">
          <cell r="B24">
            <v>10</v>
          </cell>
          <cell r="C24"/>
          <cell r="D24" t="str">
            <v>Convenios (Esta categoría se utiliza para convenios con entidades, alcaldías, gobernaciones)</v>
          </cell>
          <cell r="E24" t="str">
            <v>Convenios</v>
          </cell>
        </row>
        <row r="25">
          <cell r="B25">
            <v>11</v>
          </cell>
          <cell r="C25"/>
          <cell r="D25" t="str">
            <v>Abierto al Público (Aplica para servicios masivos dirigidos a afiliados y no afiliados)</v>
          </cell>
          <cell r="E25" t="str">
            <v>Abierto al Público</v>
          </cell>
        </row>
        <row r="26">
          <cell r="B26">
            <v>12</v>
          </cell>
          <cell r="C26"/>
          <cell r="D26" t="str">
            <v>Empresa no afiliada (aplica solo para reporte de tarifas e ingreso por tarifas)</v>
          </cell>
          <cell r="E26" t="str">
            <v>Empresa no afiliada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anción de ppto"/>
      <sheetName val="TARIFA 2021"/>
      <sheetName val="cuadro resumen de las tarifas"/>
    </sheetNames>
    <sheetDataSet>
      <sheetData sheetId="0">
        <row r="46">
          <cell r="F46">
            <v>7000</v>
          </cell>
          <cell r="H46">
            <v>7500</v>
          </cell>
          <cell r="L46">
            <v>9000</v>
          </cell>
          <cell r="N46">
            <v>7500</v>
          </cell>
          <cell r="P46">
            <v>75000</v>
          </cell>
          <cell r="R46">
            <v>40000</v>
          </cell>
          <cell r="T46">
            <v>64400</v>
          </cell>
          <cell r="V46">
            <v>173000</v>
          </cell>
          <cell r="X46">
            <v>275000</v>
          </cell>
          <cell r="Z46">
            <v>44000</v>
          </cell>
          <cell r="AB46">
            <v>263000</v>
          </cell>
          <cell r="AH46">
            <v>146000</v>
          </cell>
          <cell r="AJ46">
            <v>50000</v>
          </cell>
          <cell r="AL46">
            <v>11000</v>
          </cell>
          <cell r="AN46">
            <v>55000</v>
          </cell>
          <cell r="AP46">
            <v>72000</v>
          </cell>
          <cell r="AT46">
            <v>55000</v>
          </cell>
          <cell r="AV46">
            <v>74000</v>
          </cell>
          <cell r="AX46">
            <v>19000</v>
          </cell>
          <cell r="BB46">
            <v>251000</v>
          </cell>
          <cell r="BP46">
            <v>75000</v>
          </cell>
          <cell r="CR46">
            <v>10000</v>
          </cell>
          <cell r="CT46">
            <v>60000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B147-74C0-48DA-9220-7C8E6A602E82}">
  <dimension ref="A1:S251"/>
  <sheetViews>
    <sheetView tabSelected="1" workbookViewId="0">
      <selection activeCell="M3" sqref="M3"/>
    </sheetView>
  </sheetViews>
  <sheetFormatPr baseColWidth="10" defaultRowHeight="15" x14ac:dyDescent="0.25"/>
  <cols>
    <col min="1" max="1" width="12.140625" customWidth="1"/>
    <col min="2" max="2" width="10.5703125" customWidth="1"/>
    <col min="3" max="3" width="9.5703125" customWidth="1"/>
    <col min="4" max="4" width="12" customWidth="1"/>
    <col min="5" max="5" width="39.85546875" customWidth="1"/>
    <col min="6" max="6" width="9.140625" customWidth="1"/>
    <col min="7" max="7" width="13" customWidth="1"/>
    <col min="8" max="8" width="12.5703125" bestFit="1" customWidth="1"/>
    <col min="9" max="9" width="10.7109375" customWidth="1"/>
    <col min="10" max="10" width="10.85546875" customWidth="1"/>
    <col min="11" max="11" width="10.42578125" customWidth="1"/>
    <col min="12" max="12" width="15" customWidth="1"/>
    <col min="13" max="13" width="10.7109375" customWidth="1"/>
    <col min="14" max="14" width="14.140625" bestFit="1" customWidth="1"/>
    <col min="15" max="15" width="14" customWidth="1"/>
    <col min="16" max="16" width="14.140625" bestFit="1" customWidth="1"/>
    <col min="17" max="17" width="14.140625" customWidth="1"/>
    <col min="18" max="18" width="12.5703125" bestFit="1" customWidth="1"/>
    <col min="19" max="19" width="12.7109375" bestFit="1" customWidth="1"/>
    <col min="257" max="257" width="12.140625" customWidth="1"/>
    <col min="258" max="258" width="10.5703125" customWidth="1"/>
    <col min="259" max="259" width="9.5703125" customWidth="1"/>
    <col min="260" max="260" width="12" customWidth="1"/>
    <col min="261" max="261" width="39.85546875" customWidth="1"/>
    <col min="262" max="262" width="9.140625" customWidth="1"/>
    <col min="263" max="263" width="13" customWidth="1"/>
    <col min="264" max="264" width="12.5703125" bestFit="1" customWidth="1"/>
    <col min="265" max="265" width="10.7109375" customWidth="1"/>
    <col min="266" max="266" width="10.85546875" customWidth="1"/>
    <col min="267" max="267" width="10.42578125" customWidth="1"/>
    <col min="268" max="268" width="15" customWidth="1"/>
    <col min="269" max="269" width="10.7109375" customWidth="1"/>
    <col min="270" max="270" width="14.140625" bestFit="1" customWidth="1"/>
    <col min="271" max="271" width="14" customWidth="1"/>
    <col min="272" max="272" width="14.140625" bestFit="1" customWidth="1"/>
    <col min="273" max="273" width="14.140625" customWidth="1"/>
    <col min="274" max="274" width="12.5703125" bestFit="1" customWidth="1"/>
    <col min="275" max="275" width="12.7109375" bestFit="1" customWidth="1"/>
    <col min="513" max="513" width="12.140625" customWidth="1"/>
    <col min="514" max="514" width="10.5703125" customWidth="1"/>
    <col min="515" max="515" width="9.5703125" customWidth="1"/>
    <col min="516" max="516" width="12" customWidth="1"/>
    <col min="517" max="517" width="39.85546875" customWidth="1"/>
    <col min="518" max="518" width="9.140625" customWidth="1"/>
    <col min="519" max="519" width="13" customWidth="1"/>
    <col min="520" max="520" width="12.5703125" bestFit="1" customWidth="1"/>
    <col min="521" max="521" width="10.7109375" customWidth="1"/>
    <col min="522" max="522" width="10.85546875" customWidth="1"/>
    <col min="523" max="523" width="10.42578125" customWidth="1"/>
    <col min="524" max="524" width="15" customWidth="1"/>
    <col min="525" max="525" width="10.7109375" customWidth="1"/>
    <col min="526" max="526" width="14.140625" bestFit="1" customWidth="1"/>
    <col min="527" max="527" width="14" customWidth="1"/>
    <col min="528" max="528" width="14.140625" bestFit="1" customWidth="1"/>
    <col min="529" max="529" width="14.140625" customWidth="1"/>
    <col min="530" max="530" width="12.5703125" bestFit="1" customWidth="1"/>
    <col min="531" max="531" width="12.7109375" bestFit="1" customWidth="1"/>
    <col min="769" max="769" width="12.140625" customWidth="1"/>
    <col min="770" max="770" width="10.5703125" customWidth="1"/>
    <col min="771" max="771" width="9.5703125" customWidth="1"/>
    <col min="772" max="772" width="12" customWidth="1"/>
    <col min="773" max="773" width="39.85546875" customWidth="1"/>
    <col min="774" max="774" width="9.140625" customWidth="1"/>
    <col min="775" max="775" width="13" customWidth="1"/>
    <col min="776" max="776" width="12.5703125" bestFit="1" customWidth="1"/>
    <col min="777" max="777" width="10.7109375" customWidth="1"/>
    <col min="778" max="778" width="10.85546875" customWidth="1"/>
    <col min="779" max="779" width="10.42578125" customWidth="1"/>
    <col min="780" max="780" width="15" customWidth="1"/>
    <col min="781" max="781" width="10.7109375" customWidth="1"/>
    <col min="782" max="782" width="14.140625" bestFit="1" customWidth="1"/>
    <col min="783" max="783" width="14" customWidth="1"/>
    <col min="784" max="784" width="14.140625" bestFit="1" customWidth="1"/>
    <col min="785" max="785" width="14.140625" customWidth="1"/>
    <col min="786" max="786" width="12.5703125" bestFit="1" customWidth="1"/>
    <col min="787" max="787" width="12.7109375" bestFit="1" customWidth="1"/>
    <col min="1025" max="1025" width="12.140625" customWidth="1"/>
    <col min="1026" max="1026" width="10.5703125" customWidth="1"/>
    <col min="1027" max="1027" width="9.5703125" customWidth="1"/>
    <col min="1028" max="1028" width="12" customWidth="1"/>
    <col min="1029" max="1029" width="39.85546875" customWidth="1"/>
    <col min="1030" max="1030" width="9.140625" customWidth="1"/>
    <col min="1031" max="1031" width="13" customWidth="1"/>
    <col min="1032" max="1032" width="12.5703125" bestFit="1" customWidth="1"/>
    <col min="1033" max="1033" width="10.7109375" customWidth="1"/>
    <col min="1034" max="1034" width="10.85546875" customWidth="1"/>
    <col min="1035" max="1035" width="10.42578125" customWidth="1"/>
    <col min="1036" max="1036" width="15" customWidth="1"/>
    <col min="1037" max="1037" width="10.7109375" customWidth="1"/>
    <col min="1038" max="1038" width="14.140625" bestFit="1" customWidth="1"/>
    <col min="1039" max="1039" width="14" customWidth="1"/>
    <col min="1040" max="1040" width="14.140625" bestFit="1" customWidth="1"/>
    <col min="1041" max="1041" width="14.140625" customWidth="1"/>
    <col min="1042" max="1042" width="12.5703125" bestFit="1" customWidth="1"/>
    <col min="1043" max="1043" width="12.7109375" bestFit="1" customWidth="1"/>
    <col min="1281" max="1281" width="12.140625" customWidth="1"/>
    <col min="1282" max="1282" width="10.5703125" customWidth="1"/>
    <col min="1283" max="1283" width="9.5703125" customWidth="1"/>
    <col min="1284" max="1284" width="12" customWidth="1"/>
    <col min="1285" max="1285" width="39.85546875" customWidth="1"/>
    <col min="1286" max="1286" width="9.140625" customWidth="1"/>
    <col min="1287" max="1287" width="13" customWidth="1"/>
    <col min="1288" max="1288" width="12.5703125" bestFit="1" customWidth="1"/>
    <col min="1289" max="1289" width="10.7109375" customWidth="1"/>
    <col min="1290" max="1290" width="10.85546875" customWidth="1"/>
    <col min="1291" max="1291" width="10.42578125" customWidth="1"/>
    <col min="1292" max="1292" width="15" customWidth="1"/>
    <col min="1293" max="1293" width="10.7109375" customWidth="1"/>
    <col min="1294" max="1294" width="14.140625" bestFit="1" customWidth="1"/>
    <col min="1295" max="1295" width="14" customWidth="1"/>
    <col min="1296" max="1296" width="14.140625" bestFit="1" customWidth="1"/>
    <col min="1297" max="1297" width="14.140625" customWidth="1"/>
    <col min="1298" max="1298" width="12.5703125" bestFit="1" customWidth="1"/>
    <col min="1299" max="1299" width="12.7109375" bestFit="1" customWidth="1"/>
    <col min="1537" max="1537" width="12.140625" customWidth="1"/>
    <col min="1538" max="1538" width="10.5703125" customWidth="1"/>
    <col min="1539" max="1539" width="9.5703125" customWidth="1"/>
    <col min="1540" max="1540" width="12" customWidth="1"/>
    <col min="1541" max="1541" width="39.85546875" customWidth="1"/>
    <col min="1542" max="1542" width="9.140625" customWidth="1"/>
    <col min="1543" max="1543" width="13" customWidth="1"/>
    <col min="1544" max="1544" width="12.5703125" bestFit="1" customWidth="1"/>
    <col min="1545" max="1545" width="10.7109375" customWidth="1"/>
    <col min="1546" max="1546" width="10.85546875" customWidth="1"/>
    <col min="1547" max="1547" width="10.42578125" customWidth="1"/>
    <col min="1548" max="1548" width="15" customWidth="1"/>
    <col min="1549" max="1549" width="10.7109375" customWidth="1"/>
    <col min="1550" max="1550" width="14.140625" bestFit="1" customWidth="1"/>
    <col min="1551" max="1551" width="14" customWidth="1"/>
    <col min="1552" max="1552" width="14.140625" bestFit="1" customWidth="1"/>
    <col min="1553" max="1553" width="14.140625" customWidth="1"/>
    <col min="1554" max="1554" width="12.5703125" bestFit="1" customWidth="1"/>
    <col min="1555" max="1555" width="12.7109375" bestFit="1" customWidth="1"/>
    <col min="1793" max="1793" width="12.140625" customWidth="1"/>
    <col min="1794" max="1794" width="10.5703125" customWidth="1"/>
    <col min="1795" max="1795" width="9.5703125" customWidth="1"/>
    <col min="1796" max="1796" width="12" customWidth="1"/>
    <col min="1797" max="1797" width="39.85546875" customWidth="1"/>
    <col min="1798" max="1798" width="9.140625" customWidth="1"/>
    <col min="1799" max="1799" width="13" customWidth="1"/>
    <col min="1800" max="1800" width="12.5703125" bestFit="1" customWidth="1"/>
    <col min="1801" max="1801" width="10.7109375" customWidth="1"/>
    <col min="1802" max="1802" width="10.85546875" customWidth="1"/>
    <col min="1803" max="1803" width="10.42578125" customWidth="1"/>
    <col min="1804" max="1804" width="15" customWidth="1"/>
    <col min="1805" max="1805" width="10.7109375" customWidth="1"/>
    <col min="1806" max="1806" width="14.140625" bestFit="1" customWidth="1"/>
    <col min="1807" max="1807" width="14" customWidth="1"/>
    <col min="1808" max="1808" width="14.140625" bestFit="1" customWidth="1"/>
    <col min="1809" max="1809" width="14.140625" customWidth="1"/>
    <col min="1810" max="1810" width="12.5703125" bestFit="1" customWidth="1"/>
    <col min="1811" max="1811" width="12.7109375" bestFit="1" customWidth="1"/>
    <col min="2049" max="2049" width="12.140625" customWidth="1"/>
    <col min="2050" max="2050" width="10.5703125" customWidth="1"/>
    <col min="2051" max="2051" width="9.5703125" customWidth="1"/>
    <col min="2052" max="2052" width="12" customWidth="1"/>
    <col min="2053" max="2053" width="39.85546875" customWidth="1"/>
    <col min="2054" max="2054" width="9.140625" customWidth="1"/>
    <col min="2055" max="2055" width="13" customWidth="1"/>
    <col min="2056" max="2056" width="12.5703125" bestFit="1" customWidth="1"/>
    <col min="2057" max="2057" width="10.7109375" customWidth="1"/>
    <col min="2058" max="2058" width="10.85546875" customWidth="1"/>
    <col min="2059" max="2059" width="10.42578125" customWidth="1"/>
    <col min="2060" max="2060" width="15" customWidth="1"/>
    <col min="2061" max="2061" width="10.7109375" customWidth="1"/>
    <col min="2062" max="2062" width="14.140625" bestFit="1" customWidth="1"/>
    <col min="2063" max="2063" width="14" customWidth="1"/>
    <col min="2064" max="2064" width="14.140625" bestFit="1" customWidth="1"/>
    <col min="2065" max="2065" width="14.140625" customWidth="1"/>
    <col min="2066" max="2066" width="12.5703125" bestFit="1" customWidth="1"/>
    <col min="2067" max="2067" width="12.7109375" bestFit="1" customWidth="1"/>
    <col min="2305" max="2305" width="12.140625" customWidth="1"/>
    <col min="2306" max="2306" width="10.5703125" customWidth="1"/>
    <col min="2307" max="2307" width="9.5703125" customWidth="1"/>
    <col min="2308" max="2308" width="12" customWidth="1"/>
    <col min="2309" max="2309" width="39.85546875" customWidth="1"/>
    <col min="2310" max="2310" width="9.140625" customWidth="1"/>
    <col min="2311" max="2311" width="13" customWidth="1"/>
    <col min="2312" max="2312" width="12.5703125" bestFit="1" customWidth="1"/>
    <col min="2313" max="2313" width="10.7109375" customWidth="1"/>
    <col min="2314" max="2314" width="10.85546875" customWidth="1"/>
    <col min="2315" max="2315" width="10.42578125" customWidth="1"/>
    <col min="2316" max="2316" width="15" customWidth="1"/>
    <col min="2317" max="2317" width="10.7109375" customWidth="1"/>
    <col min="2318" max="2318" width="14.140625" bestFit="1" customWidth="1"/>
    <col min="2319" max="2319" width="14" customWidth="1"/>
    <col min="2320" max="2320" width="14.140625" bestFit="1" customWidth="1"/>
    <col min="2321" max="2321" width="14.140625" customWidth="1"/>
    <col min="2322" max="2322" width="12.5703125" bestFit="1" customWidth="1"/>
    <col min="2323" max="2323" width="12.7109375" bestFit="1" customWidth="1"/>
    <col min="2561" max="2561" width="12.140625" customWidth="1"/>
    <col min="2562" max="2562" width="10.5703125" customWidth="1"/>
    <col min="2563" max="2563" width="9.5703125" customWidth="1"/>
    <col min="2564" max="2564" width="12" customWidth="1"/>
    <col min="2565" max="2565" width="39.85546875" customWidth="1"/>
    <col min="2566" max="2566" width="9.140625" customWidth="1"/>
    <col min="2567" max="2567" width="13" customWidth="1"/>
    <col min="2568" max="2568" width="12.5703125" bestFit="1" customWidth="1"/>
    <col min="2569" max="2569" width="10.7109375" customWidth="1"/>
    <col min="2570" max="2570" width="10.85546875" customWidth="1"/>
    <col min="2571" max="2571" width="10.42578125" customWidth="1"/>
    <col min="2572" max="2572" width="15" customWidth="1"/>
    <col min="2573" max="2573" width="10.7109375" customWidth="1"/>
    <col min="2574" max="2574" width="14.140625" bestFit="1" customWidth="1"/>
    <col min="2575" max="2575" width="14" customWidth="1"/>
    <col min="2576" max="2576" width="14.140625" bestFit="1" customWidth="1"/>
    <col min="2577" max="2577" width="14.140625" customWidth="1"/>
    <col min="2578" max="2578" width="12.5703125" bestFit="1" customWidth="1"/>
    <col min="2579" max="2579" width="12.7109375" bestFit="1" customWidth="1"/>
    <col min="2817" max="2817" width="12.140625" customWidth="1"/>
    <col min="2818" max="2818" width="10.5703125" customWidth="1"/>
    <col min="2819" max="2819" width="9.5703125" customWidth="1"/>
    <col min="2820" max="2820" width="12" customWidth="1"/>
    <col min="2821" max="2821" width="39.85546875" customWidth="1"/>
    <col min="2822" max="2822" width="9.140625" customWidth="1"/>
    <col min="2823" max="2823" width="13" customWidth="1"/>
    <col min="2824" max="2824" width="12.5703125" bestFit="1" customWidth="1"/>
    <col min="2825" max="2825" width="10.7109375" customWidth="1"/>
    <col min="2826" max="2826" width="10.85546875" customWidth="1"/>
    <col min="2827" max="2827" width="10.42578125" customWidth="1"/>
    <col min="2828" max="2828" width="15" customWidth="1"/>
    <col min="2829" max="2829" width="10.7109375" customWidth="1"/>
    <col min="2830" max="2830" width="14.140625" bestFit="1" customWidth="1"/>
    <col min="2831" max="2831" width="14" customWidth="1"/>
    <col min="2832" max="2832" width="14.140625" bestFit="1" customWidth="1"/>
    <col min="2833" max="2833" width="14.140625" customWidth="1"/>
    <col min="2834" max="2834" width="12.5703125" bestFit="1" customWidth="1"/>
    <col min="2835" max="2835" width="12.7109375" bestFit="1" customWidth="1"/>
    <col min="3073" max="3073" width="12.140625" customWidth="1"/>
    <col min="3074" max="3074" width="10.5703125" customWidth="1"/>
    <col min="3075" max="3075" width="9.5703125" customWidth="1"/>
    <col min="3076" max="3076" width="12" customWidth="1"/>
    <col min="3077" max="3077" width="39.85546875" customWidth="1"/>
    <col min="3078" max="3078" width="9.140625" customWidth="1"/>
    <col min="3079" max="3079" width="13" customWidth="1"/>
    <col min="3080" max="3080" width="12.5703125" bestFit="1" customWidth="1"/>
    <col min="3081" max="3081" width="10.7109375" customWidth="1"/>
    <col min="3082" max="3082" width="10.85546875" customWidth="1"/>
    <col min="3083" max="3083" width="10.42578125" customWidth="1"/>
    <col min="3084" max="3084" width="15" customWidth="1"/>
    <col min="3085" max="3085" width="10.7109375" customWidth="1"/>
    <col min="3086" max="3086" width="14.140625" bestFit="1" customWidth="1"/>
    <col min="3087" max="3087" width="14" customWidth="1"/>
    <col min="3088" max="3088" width="14.140625" bestFit="1" customWidth="1"/>
    <col min="3089" max="3089" width="14.140625" customWidth="1"/>
    <col min="3090" max="3090" width="12.5703125" bestFit="1" customWidth="1"/>
    <col min="3091" max="3091" width="12.7109375" bestFit="1" customWidth="1"/>
    <col min="3329" max="3329" width="12.140625" customWidth="1"/>
    <col min="3330" max="3330" width="10.5703125" customWidth="1"/>
    <col min="3331" max="3331" width="9.5703125" customWidth="1"/>
    <col min="3332" max="3332" width="12" customWidth="1"/>
    <col min="3333" max="3333" width="39.85546875" customWidth="1"/>
    <col min="3334" max="3334" width="9.140625" customWidth="1"/>
    <col min="3335" max="3335" width="13" customWidth="1"/>
    <col min="3336" max="3336" width="12.5703125" bestFit="1" customWidth="1"/>
    <col min="3337" max="3337" width="10.7109375" customWidth="1"/>
    <col min="3338" max="3338" width="10.85546875" customWidth="1"/>
    <col min="3339" max="3339" width="10.42578125" customWidth="1"/>
    <col min="3340" max="3340" width="15" customWidth="1"/>
    <col min="3341" max="3341" width="10.7109375" customWidth="1"/>
    <col min="3342" max="3342" width="14.140625" bestFit="1" customWidth="1"/>
    <col min="3343" max="3343" width="14" customWidth="1"/>
    <col min="3344" max="3344" width="14.140625" bestFit="1" customWidth="1"/>
    <col min="3345" max="3345" width="14.140625" customWidth="1"/>
    <col min="3346" max="3346" width="12.5703125" bestFit="1" customWidth="1"/>
    <col min="3347" max="3347" width="12.7109375" bestFit="1" customWidth="1"/>
    <col min="3585" max="3585" width="12.140625" customWidth="1"/>
    <col min="3586" max="3586" width="10.5703125" customWidth="1"/>
    <col min="3587" max="3587" width="9.5703125" customWidth="1"/>
    <col min="3588" max="3588" width="12" customWidth="1"/>
    <col min="3589" max="3589" width="39.85546875" customWidth="1"/>
    <col min="3590" max="3590" width="9.140625" customWidth="1"/>
    <col min="3591" max="3591" width="13" customWidth="1"/>
    <col min="3592" max="3592" width="12.5703125" bestFit="1" customWidth="1"/>
    <col min="3593" max="3593" width="10.7109375" customWidth="1"/>
    <col min="3594" max="3594" width="10.85546875" customWidth="1"/>
    <col min="3595" max="3595" width="10.42578125" customWidth="1"/>
    <col min="3596" max="3596" width="15" customWidth="1"/>
    <col min="3597" max="3597" width="10.7109375" customWidth="1"/>
    <col min="3598" max="3598" width="14.140625" bestFit="1" customWidth="1"/>
    <col min="3599" max="3599" width="14" customWidth="1"/>
    <col min="3600" max="3600" width="14.140625" bestFit="1" customWidth="1"/>
    <col min="3601" max="3601" width="14.140625" customWidth="1"/>
    <col min="3602" max="3602" width="12.5703125" bestFit="1" customWidth="1"/>
    <col min="3603" max="3603" width="12.7109375" bestFit="1" customWidth="1"/>
    <col min="3841" max="3841" width="12.140625" customWidth="1"/>
    <col min="3842" max="3842" width="10.5703125" customWidth="1"/>
    <col min="3843" max="3843" width="9.5703125" customWidth="1"/>
    <col min="3844" max="3844" width="12" customWidth="1"/>
    <col min="3845" max="3845" width="39.85546875" customWidth="1"/>
    <col min="3846" max="3846" width="9.140625" customWidth="1"/>
    <col min="3847" max="3847" width="13" customWidth="1"/>
    <col min="3848" max="3848" width="12.5703125" bestFit="1" customWidth="1"/>
    <col min="3849" max="3849" width="10.7109375" customWidth="1"/>
    <col min="3850" max="3850" width="10.85546875" customWidth="1"/>
    <col min="3851" max="3851" width="10.42578125" customWidth="1"/>
    <col min="3852" max="3852" width="15" customWidth="1"/>
    <col min="3853" max="3853" width="10.7109375" customWidth="1"/>
    <col min="3854" max="3854" width="14.140625" bestFit="1" customWidth="1"/>
    <col min="3855" max="3855" width="14" customWidth="1"/>
    <col min="3856" max="3856" width="14.140625" bestFit="1" customWidth="1"/>
    <col min="3857" max="3857" width="14.140625" customWidth="1"/>
    <col min="3858" max="3858" width="12.5703125" bestFit="1" customWidth="1"/>
    <col min="3859" max="3859" width="12.7109375" bestFit="1" customWidth="1"/>
    <col min="4097" max="4097" width="12.140625" customWidth="1"/>
    <col min="4098" max="4098" width="10.5703125" customWidth="1"/>
    <col min="4099" max="4099" width="9.5703125" customWidth="1"/>
    <col min="4100" max="4100" width="12" customWidth="1"/>
    <col min="4101" max="4101" width="39.85546875" customWidth="1"/>
    <col min="4102" max="4102" width="9.140625" customWidth="1"/>
    <col min="4103" max="4103" width="13" customWidth="1"/>
    <col min="4104" max="4104" width="12.5703125" bestFit="1" customWidth="1"/>
    <col min="4105" max="4105" width="10.7109375" customWidth="1"/>
    <col min="4106" max="4106" width="10.85546875" customWidth="1"/>
    <col min="4107" max="4107" width="10.42578125" customWidth="1"/>
    <col min="4108" max="4108" width="15" customWidth="1"/>
    <col min="4109" max="4109" width="10.7109375" customWidth="1"/>
    <col min="4110" max="4110" width="14.140625" bestFit="1" customWidth="1"/>
    <col min="4111" max="4111" width="14" customWidth="1"/>
    <col min="4112" max="4112" width="14.140625" bestFit="1" customWidth="1"/>
    <col min="4113" max="4113" width="14.140625" customWidth="1"/>
    <col min="4114" max="4114" width="12.5703125" bestFit="1" customWidth="1"/>
    <col min="4115" max="4115" width="12.7109375" bestFit="1" customWidth="1"/>
    <col min="4353" max="4353" width="12.140625" customWidth="1"/>
    <col min="4354" max="4354" width="10.5703125" customWidth="1"/>
    <col min="4355" max="4355" width="9.5703125" customWidth="1"/>
    <col min="4356" max="4356" width="12" customWidth="1"/>
    <col min="4357" max="4357" width="39.85546875" customWidth="1"/>
    <col min="4358" max="4358" width="9.140625" customWidth="1"/>
    <col min="4359" max="4359" width="13" customWidth="1"/>
    <col min="4360" max="4360" width="12.5703125" bestFit="1" customWidth="1"/>
    <col min="4361" max="4361" width="10.7109375" customWidth="1"/>
    <col min="4362" max="4362" width="10.85546875" customWidth="1"/>
    <col min="4363" max="4363" width="10.42578125" customWidth="1"/>
    <col min="4364" max="4364" width="15" customWidth="1"/>
    <col min="4365" max="4365" width="10.7109375" customWidth="1"/>
    <col min="4366" max="4366" width="14.140625" bestFit="1" customWidth="1"/>
    <col min="4367" max="4367" width="14" customWidth="1"/>
    <col min="4368" max="4368" width="14.140625" bestFit="1" customWidth="1"/>
    <col min="4369" max="4369" width="14.140625" customWidth="1"/>
    <col min="4370" max="4370" width="12.5703125" bestFit="1" customWidth="1"/>
    <col min="4371" max="4371" width="12.7109375" bestFit="1" customWidth="1"/>
    <col min="4609" max="4609" width="12.140625" customWidth="1"/>
    <col min="4610" max="4610" width="10.5703125" customWidth="1"/>
    <col min="4611" max="4611" width="9.5703125" customWidth="1"/>
    <col min="4612" max="4612" width="12" customWidth="1"/>
    <col min="4613" max="4613" width="39.85546875" customWidth="1"/>
    <col min="4614" max="4614" width="9.140625" customWidth="1"/>
    <col min="4615" max="4615" width="13" customWidth="1"/>
    <col min="4616" max="4616" width="12.5703125" bestFit="1" customWidth="1"/>
    <col min="4617" max="4617" width="10.7109375" customWidth="1"/>
    <col min="4618" max="4618" width="10.85546875" customWidth="1"/>
    <col min="4619" max="4619" width="10.42578125" customWidth="1"/>
    <col min="4620" max="4620" width="15" customWidth="1"/>
    <col min="4621" max="4621" width="10.7109375" customWidth="1"/>
    <col min="4622" max="4622" width="14.140625" bestFit="1" customWidth="1"/>
    <col min="4623" max="4623" width="14" customWidth="1"/>
    <col min="4624" max="4624" width="14.140625" bestFit="1" customWidth="1"/>
    <col min="4625" max="4625" width="14.140625" customWidth="1"/>
    <col min="4626" max="4626" width="12.5703125" bestFit="1" customWidth="1"/>
    <col min="4627" max="4627" width="12.7109375" bestFit="1" customWidth="1"/>
    <col min="4865" max="4865" width="12.140625" customWidth="1"/>
    <col min="4866" max="4866" width="10.5703125" customWidth="1"/>
    <col min="4867" max="4867" width="9.5703125" customWidth="1"/>
    <col min="4868" max="4868" width="12" customWidth="1"/>
    <col min="4869" max="4869" width="39.85546875" customWidth="1"/>
    <col min="4870" max="4870" width="9.140625" customWidth="1"/>
    <col min="4871" max="4871" width="13" customWidth="1"/>
    <col min="4872" max="4872" width="12.5703125" bestFit="1" customWidth="1"/>
    <col min="4873" max="4873" width="10.7109375" customWidth="1"/>
    <col min="4874" max="4874" width="10.85546875" customWidth="1"/>
    <col min="4875" max="4875" width="10.42578125" customWidth="1"/>
    <col min="4876" max="4876" width="15" customWidth="1"/>
    <col min="4877" max="4877" width="10.7109375" customWidth="1"/>
    <col min="4878" max="4878" width="14.140625" bestFit="1" customWidth="1"/>
    <col min="4879" max="4879" width="14" customWidth="1"/>
    <col min="4880" max="4880" width="14.140625" bestFit="1" customWidth="1"/>
    <col min="4881" max="4881" width="14.140625" customWidth="1"/>
    <col min="4882" max="4882" width="12.5703125" bestFit="1" customWidth="1"/>
    <col min="4883" max="4883" width="12.7109375" bestFit="1" customWidth="1"/>
    <col min="5121" max="5121" width="12.140625" customWidth="1"/>
    <col min="5122" max="5122" width="10.5703125" customWidth="1"/>
    <col min="5123" max="5123" width="9.5703125" customWidth="1"/>
    <col min="5124" max="5124" width="12" customWidth="1"/>
    <col min="5125" max="5125" width="39.85546875" customWidth="1"/>
    <col min="5126" max="5126" width="9.140625" customWidth="1"/>
    <col min="5127" max="5127" width="13" customWidth="1"/>
    <col min="5128" max="5128" width="12.5703125" bestFit="1" customWidth="1"/>
    <col min="5129" max="5129" width="10.7109375" customWidth="1"/>
    <col min="5130" max="5130" width="10.85546875" customWidth="1"/>
    <col min="5131" max="5131" width="10.42578125" customWidth="1"/>
    <col min="5132" max="5132" width="15" customWidth="1"/>
    <col min="5133" max="5133" width="10.7109375" customWidth="1"/>
    <col min="5134" max="5134" width="14.140625" bestFit="1" customWidth="1"/>
    <col min="5135" max="5135" width="14" customWidth="1"/>
    <col min="5136" max="5136" width="14.140625" bestFit="1" customWidth="1"/>
    <col min="5137" max="5137" width="14.140625" customWidth="1"/>
    <col min="5138" max="5138" width="12.5703125" bestFit="1" customWidth="1"/>
    <col min="5139" max="5139" width="12.7109375" bestFit="1" customWidth="1"/>
    <col min="5377" max="5377" width="12.140625" customWidth="1"/>
    <col min="5378" max="5378" width="10.5703125" customWidth="1"/>
    <col min="5379" max="5379" width="9.5703125" customWidth="1"/>
    <col min="5380" max="5380" width="12" customWidth="1"/>
    <col min="5381" max="5381" width="39.85546875" customWidth="1"/>
    <col min="5382" max="5382" width="9.140625" customWidth="1"/>
    <col min="5383" max="5383" width="13" customWidth="1"/>
    <col min="5384" max="5384" width="12.5703125" bestFit="1" customWidth="1"/>
    <col min="5385" max="5385" width="10.7109375" customWidth="1"/>
    <col min="5386" max="5386" width="10.85546875" customWidth="1"/>
    <col min="5387" max="5387" width="10.42578125" customWidth="1"/>
    <col min="5388" max="5388" width="15" customWidth="1"/>
    <col min="5389" max="5389" width="10.7109375" customWidth="1"/>
    <col min="5390" max="5390" width="14.140625" bestFit="1" customWidth="1"/>
    <col min="5391" max="5391" width="14" customWidth="1"/>
    <col min="5392" max="5392" width="14.140625" bestFit="1" customWidth="1"/>
    <col min="5393" max="5393" width="14.140625" customWidth="1"/>
    <col min="5394" max="5394" width="12.5703125" bestFit="1" customWidth="1"/>
    <col min="5395" max="5395" width="12.7109375" bestFit="1" customWidth="1"/>
    <col min="5633" max="5633" width="12.140625" customWidth="1"/>
    <col min="5634" max="5634" width="10.5703125" customWidth="1"/>
    <col min="5635" max="5635" width="9.5703125" customWidth="1"/>
    <col min="5636" max="5636" width="12" customWidth="1"/>
    <col min="5637" max="5637" width="39.85546875" customWidth="1"/>
    <col min="5638" max="5638" width="9.140625" customWidth="1"/>
    <col min="5639" max="5639" width="13" customWidth="1"/>
    <col min="5640" max="5640" width="12.5703125" bestFit="1" customWidth="1"/>
    <col min="5641" max="5641" width="10.7109375" customWidth="1"/>
    <col min="5642" max="5642" width="10.85546875" customWidth="1"/>
    <col min="5643" max="5643" width="10.42578125" customWidth="1"/>
    <col min="5644" max="5644" width="15" customWidth="1"/>
    <col min="5645" max="5645" width="10.7109375" customWidth="1"/>
    <col min="5646" max="5646" width="14.140625" bestFit="1" customWidth="1"/>
    <col min="5647" max="5647" width="14" customWidth="1"/>
    <col min="5648" max="5648" width="14.140625" bestFit="1" customWidth="1"/>
    <col min="5649" max="5649" width="14.140625" customWidth="1"/>
    <col min="5650" max="5650" width="12.5703125" bestFit="1" customWidth="1"/>
    <col min="5651" max="5651" width="12.7109375" bestFit="1" customWidth="1"/>
    <col min="5889" max="5889" width="12.140625" customWidth="1"/>
    <col min="5890" max="5890" width="10.5703125" customWidth="1"/>
    <col min="5891" max="5891" width="9.5703125" customWidth="1"/>
    <col min="5892" max="5892" width="12" customWidth="1"/>
    <col min="5893" max="5893" width="39.85546875" customWidth="1"/>
    <col min="5894" max="5894" width="9.140625" customWidth="1"/>
    <col min="5895" max="5895" width="13" customWidth="1"/>
    <col min="5896" max="5896" width="12.5703125" bestFit="1" customWidth="1"/>
    <col min="5897" max="5897" width="10.7109375" customWidth="1"/>
    <col min="5898" max="5898" width="10.85546875" customWidth="1"/>
    <col min="5899" max="5899" width="10.42578125" customWidth="1"/>
    <col min="5900" max="5900" width="15" customWidth="1"/>
    <col min="5901" max="5901" width="10.7109375" customWidth="1"/>
    <col min="5902" max="5902" width="14.140625" bestFit="1" customWidth="1"/>
    <col min="5903" max="5903" width="14" customWidth="1"/>
    <col min="5904" max="5904" width="14.140625" bestFit="1" customWidth="1"/>
    <col min="5905" max="5905" width="14.140625" customWidth="1"/>
    <col min="5906" max="5906" width="12.5703125" bestFit="1" customWidth="1"/>
    <col min="5907" max="5907" width="12.7109375" bestFit="1" customWidth="1"/>
    <col min="6145" max="6145" width="12.140625" customWidth="1"/>
    <col min="6146" max="6146" width="10.5703125" customWidth="1"/>
    <col min="6147" max="6147" width="9.5703125" customWidth="1"/>
    <col min="6148" max="6148" width="12" customWidth="1"/>
    <col min="6149" max="6149" width="39.85546875" customWidth="1"/>
    <col min="6150" max="6150" width="9.140625" customWidth="1"/>
    <col min="6151" max="6151" width="13" customWidth="1"/>
    <col min="6152" max="6152" width="12.5703125" bestFit="1" customWidth="1"/>
    <col min="6153" max="6153" width="10.7109375" customWidth="1"/>
    <col min="6154" max="6154" width="10.85546875" customWidth="1"/>
    <col min="6155" max="6155" width="10.42578125" customWidth="1"/>
    <col min="6156" max="6156" width="15" customWidth="1"/>
    <col min="6157" max="6157" width="10.7109375" customWidth="1"/>
    <col min="6158" max="6158" width="14.140625" bestFit="1" customWidth="1"/>
    <col min="6159" max="6159" width="14" customWidth="1"/>
    <col min="6160" max="6160" width="14.140625" bestFit="1" customWidth="1"/>
    <col min="6161" max="6161" width="14.140625" customWidth="1"/>
    <col min="6162" max="6162" width="12.5703125" bestFit="1" customWidth="1"/>
    <col min="6163" max="6163" width="12.7109375" bestFit="1" customWidth="1"/>
    <col min="6401" max="6401" width="12.140625" customWidth="1"/>
    <col min="6402" max="6402" width="10.5703125" customWidth="1"/>
    <col min="6403" max="6403" width="9.5703125" customWidth="1"/>
    <col min="6404" max="6404" width="12" customWidth="1"/>
    <col min="6405" max="6405" width="39.85546875" customWidth="1"/>
    <col min="6406" max="6406" width="9.140625" customWidth="1"/>
    <col min="6407" max="6407" width="13" customWidth="1"/>
    <col min="6408" max="6408" width="12.5703125" bestFit="1" customWidth="1"/>
    <col min="6409" max="6409" width="10.7109375" customWidth="1"/>
    <col min="6410" max="6410" width="10.85546875" customWidth="1"/>
    <col min="6411" max="6411" width="10.42578125" customWidth="1"/>
    <col min="6412" max="6412" width="15" customWidth="1"/>
    <col min="6413" max="6413" width="10.7109375" customWidth="1"/>
    <col min="6414" max="6414" width="14.140625" bestFit="1" customWidth="1"/>
    <col min="6415" max="6415" width="14" customWidth="1"/>
    <col min="6416" max="6416" width="14.140625" bestFit="1" customWidth="1"/>
    <col min="6417" max="6417" width="14.140625" customWidth="1"/>
    <col min="6418" max="6418" width="12.5703125" bestFit="1" customWidth="1"/>
    <col min="6419" max="6419" width="12.7109375" bestFit="1" customWidth="1"/>
    <col min="6657" max="6657" width="12.140625" customWidth="1"/>
    <col min="6658" max="6658" width="10.5703125" customWidth="1"/>
    <col min="6659" max="6659" width="9.5703125" customWidth="1"/>
    <col min="6660" max="6660" width="12" customWidth="1"/>
    <col min="6661" max="6661" width="39.85546875" customWidth="1"/>
    <col min="6662" max="6662" width="9.140625" customWidth="1"/>
    <col min="6663" max="6663" width="13" customWidth="1"/>
    <col min="6664" max="6664" width="12.5703125" bestFit="1" customWidth="1"/>
    <col min="6665" max="6665" width="10.7109375" customWidth="1"/>
    <col min="6666" max="6666" width="10.85546875" customWidth="1"/>
    <col min="6667" max="6667" width="10.42578125" customWidth="1"/>
    <col min="6668" max="6668" width="15" customWidth="1"/>
    <col min="6669" max="6669" width="10.7109375" customWidth="1"/>
    <col min="6670" max="6670" width="14.140625" bestFit="1" customWidth="1"/>
    <col min="6671" max="6671" width="14" customWidth="1"/>
    <col min="6672" max="6672" width="14.140625" bestFit="1" customWidth="1"/>
    <col min="6673" max="6673" width="14.140625" customWidth="1"/>
    <col min="6674" max="6674" width="12.5703125" bestFit="1" customWidth="1"/>
    <col min="6675" max="6675" width="12.7109375" bestFit="1" customWidth="1"/>
    <col min="6913" max="6913" width="12.140625" customWidth="1"/>
    <col min="6914" max="6914" width="10.5703125" customWidth="1"/>
    <col min="6915" max="6915" width="9.5703125" customWidth="1"/>
    <col min="6916" max="6916" width="12" customWidth="1"/>
    <col min="6917" max="6917" width="39.85546875" customWidth="1"/>
    <col min="6918" max="6918" width="9.140625" customWidth="1"/>
    <col min="6919" max="6919" width="13" customWidth="1"/>
    <col min="6920" max="6920" width="12.5703125" bestFit="1" customWidth="1"/>
    <col min="6921" max="6921" width="10.7109375" customWidth="1"/>
    <col min="6922" max="6922" width="10.85546875" customWidth="1"/>
    <col min="6923" max="6923" width="10.42578125" customWidth="1"/>
    <col min="6924" max="6924" width="15" customWidth="1"/>
    <col min="6925" max="6925" width="10.7109375" customWidth="1"/>
    <col min="6926" max="6926" width="14.140625" bestFit="1" customWidth="1"/>
    <col min="6927" max="6927" width="14" customWidth="1"/>
    <col min="6928" max="6928" width="14.140625" bestFit="1" customWidth="1"/>
    <col min="6929" max="6929" width="14.140625" customWidth="1"/>
    <col min="6930" max="6930" width="12.5703125" bestFit="1" customWidth="1"/>
    <col min="6931" max="6931" width="12.7109375" bestFit="1" customWidth="1"/>
    <col min="7169" max="7169" width="12.140625" customWidth="1"/>
    <col min="7170" max="7170" width="10.5703125" customWidth="1"/>
    <col min="7171" max="7171" width="9.5703125" customWidth="1"/>
    <col min="7172" max="7172" width="12" customWidth="1"/>
    <col min="7173" max="7173" width="39.85546875" customWidth="1"/>
    <col min="7174" max="7174" width="9.140625" customWidth="1"/>
    <col min="7175" max="7175" width="13" customWidth="1"/>
    <col min="7176" max="7176" width="12.5703125" bestFit="1" customWidth="1"/>
    <col min="7177" max="7177" width="10.7109375" customWidth="1"/>
    <col min="7178" max="7178" width="10.85546875" customWidth="1"/>
    <col min="7179" max="7179" width="10.42578125" customWidth="1"/>
    <col min="7180" max="7180" width="15" customWidth="1"/>
    <col min="7181" max="7181" width="10.7109375" customWidth="1"/>
    <col min="7182" max="7182" width="14.140625" bestFit="1" customWidth="1"/>
    <col min="7183" max="7183" width="14" customWidth="1"/>
    <col min="7184" max="7184" width="14.140625" bestFit="1" customWidth="1"/>
    <col min="7185" max="7185" width="14.140625" customWidth="1"/>
    <col min="7186" max="7186" width="12.5703125" bestFit="1" customWidth="1"/>
    <col min="7187" max="7187" width="12.7109375" bestFit="1" customWidth="1"/>
    <col min="7425" max="7425" width="12.140625" customWidth="1"/>
    <col min="7426" max="7426" width="10.5703125" customWidth="1"/>
    <col min="7427" max="7427" width="9.5703125" customWidth="1"/>
    <col min="7428" max="7428" width="12" customWidth="1"/>
    <col min="7429" max="7429" width="39.85546875" customWidth="1"/>
    <col min="7430" max="7430" width="9.140625" customWidth="1"/>
    <col min="7431" max="7431" width="13" customWidth="1"/>
    <col min="7432" max="7432" width="12.5703125" bestFit="1" customWidth="1"/>
    <col min="7433" max="7433" width="10.7109375" customWidth="1"/>
    <col min="7434" max="7434" width="10.85546875" customWidth="1"/>
    <col min="7435" max="7435" width="10.42578125" customWidth="1"/>
    <col min="7436" max="7436" width="15" customWidth="1"/>
    <col min="7437" max="7437" width="10.7109375" customWidth="1"/>
    <col min="7438" max="7438" width="14.140625" bestFit="1" customWidth="1"/>
    <col min="7439" max="7439" width="14" customWidth="1"/>
    <col min="7440" max="7440" width="14.140625" bestFit="1" customWidth="1"/>
    <col min="7441" max="7441" width="14.140625" customWidth="1"/>
    <col min="7442" max="7442" width="12.5703125" bestFit="1" customWidth="1"/>
    <col min="7443" max="7443" width="12.7109375" bestFit="1" customWidth="1"/>
    <col min="7681" max="7681" width="12.140625" customWidth="1"/>
    <col min="7682" max="7682" width="10.5703125" customWidth="1"/>
    <col min="7683" max="7683" width="9.5703125" customWidth="1"/>
    <col min="7684" max="7684" width="12" customWidth="1"/>
    <col min="7685" max="7685" width="39.85546875" customWidth="1"/>
    <col min="7686" max="7686" width="9.140625" customWidth="1"/>
    <col min="7687" max="7687" width="13" customWidth="1"/>
    <col min="7688" max="7688" width="12.5703125" bestFit="1" customWidth="1"/>
    <col min="7689" max="7689" width="10.7109375" customWidth="1"/>
    <col min="7690" max="7690" width="10.85546875" customWidth="1"/>
    <col min="7691" max="7691" width="10.42578125" customWidth="1"/>
    <col min="7692" max="7692" width="15" customWidth="1"/>
    <col min="7693" max="7693" width="10.7109375" customWidth="1"/>
    <col min="7694" max="7694" width="14.140625" bestFit="1" customWidth="1"/>
    <col min="7695" max="7695" width="14" customWidth="1"/>
    <col min="7696" max="7696" width="14.140625" bestFit="1" customWidth="1"/>
    <col min="7697" max="7697" width="14.140625" customWidth="1"/>
    <col min="7698" max="7698" width="12.5703125" bestFit="1" customWidth="1"/>
    <col min="7699" max="7699" width="12.7109375" bestFit="1" customWidth="1"/>
    <col min="7937" max="7937" width="12.140625" customWidth="1"/>
    <col min="7938" max="7938" width="10.5703125" customWidth="1"/>
    <col min="7939" max="7939" width="9.5703125" customWidth="1"/>
    <col min="7940" max="7940" width="12" customWidth="1"/>
    <col min="7941" max="7941" width="39.85546875" customWidth="1"/>
    <col min="7942" max="7942" width="9.140625" customWidth="1"/>
    <col min="7943" max="7943" width="13" customWidth="1"/>
    <col min="7944" max="7944" width="12.5703125" bestFit="1" customWidth="1"/>
    <col min="7945" max="7945" width="10.7109375" customWidth="1"/>
    <col min="7946" max="7946" width="10.85546875" customWidth="1"/>
    <col min="7947" max="7947" width="10.42578125" customWidth="1"/>
    <col min="7948" max="7948" width="15" customWidth="1"/>
    <col min="7949" max="7949" width="10.7109375" customWidth="1"/>
    <col min="7950" max="7950" width="14.140625" bestFit="1" customWidth="1"/>
    <col min="7951" max="7951" width="14" customWidth="1"/>
    <col min="7952" max="7952" width="14.140625" bestFit="1" customWidth="1"/>
    <col min="7953" max="7953" width="14.140625" customWidth="1"/>
    <col min="7954" max="7954" width="12.5703125" bestFit="1" customWidth="1"/>
    <col min="7955" max="7955" width="12.7109375" bestFit="1" customWidth="1"/>
    <col min="8193" max="8193" width="12.140625" customWidth="1"/>
    <col min="8194" max="8194" width="10.5703125" customWidth="1"/>
    <col min="8195" max="8195" width="9.5703125" customWidth="1"/>
    <col min="8196" max="8196" width="12" customWidth="1"/>
    <col min="8197" max="8197" width="39.85546875" customWidth="1"/>
    <col min="8198" max="8198" width="9.140625" customWidth="1"/>
    <col min="8199" max="8199" width="13" customWidth="1"/>
    <col min="8200" max="8200" width="12.5703125" bestFit="1" customWidth="1"/>
    <col min="8201" max="8201" width="10.7109375" customWidth="1"/>
    <col min="8202" max="8202" width="10.85546875" customWidth="1"/>
    <col min="8203" max="8203" width="10.42578125" customWidth="1"/>
    <col min="8204" max="8204" width="15" customWidth="1"/>
    <col min="8205" max="8205" width="10.7109375" customWidth="1"/>
    <col min="8206" max="8206" width="14.140625" bestFit="1" customWidth="1"/>
    <col min="8207" max="8207" width="14" customWidth="1"/>
    <col min="8208" max="8208" width="14.140625" bestFit="1" customWidth="1"/>
    <col min="8209" max="8209" width="14.140625" customWidth="1"/>
    <col min="8210" max="8210" width="12.5703125" bestFit="1" customWidth="1"/>
    <col min="8211" max="8211" width="12.7109375" bestFit="1" customWidth="1"/>
    <col min="8449" max="8449" width="12.140625" customWidth="1"/>
    <col min="8450" max="8450" width="10.5703125" customWidth="1"/>
    <col min="8451" max="8451" width="9.5703125" customWidth="1"/>
    <col min="8452" max="8452" width="12" customWidth="1"/>
    <col min="8453" max="8453" width="39.85546875" customWidth="1"/>
    <col min="8454" max="8454" width="9.140625" customWidth="1"/>
    <col min="8455" max="8455" width="13" customWidth="1"/>
    <col min="8456" max="8456" width="12.5703125" bestFit="1" customWidth="1"/>
    <col min="8457" max="8457" width="10.7109375" customWidth="1"/>
    <col min="8458" max="8458" width="10.85546875" customWidth="1"/>
    <col min="8459" max="8459" width="10.42578125" customWidth="1"/>
    <col min="8460" max="8460" width="15" customWidth="1"/>
    <col min="8461" max="8461" width="10.7109375" customWidth="1"/>
    <col min="8462" max="8462" width="14.140625" bestFit="1" customWidth="1"/>
    <col min="8463" max="8463" width="14" customWidth="1"/>
    <col min="8464" max="8464" width="14.140625" bestFit="1" customWidth="1"/>
    <col min="8465" max="8465" width="14.140625" customWidth="1"/>
    <col min="8466" max="8466" width="12.5703125" bestFit="1" customWidth="1"/>
    <col min="8467" max="8467" width="12.7109375" bestFit="1" customWidth="1"/>
    <col min="8705" max="8705" width="12.140625" customWidth="1"/>
    <col min="8706" max="8706" width="10.5703125" customWidth="1"/>
    <col min="8707" max="8707" width="9.5703125" customWidth="1"/>
    <col min="8708" max="8708" width="12" customWidth="1"/>
    <col min="8709" max="8709" width="39.85546875" customWidth="1"/>
    <col min="8710" max="8710" width="9.140625" customWidth="1"/>
    <col min="8711" max="8711" width="13" customWidth="1"/>
    <col min="8712" max="8712" width="12.5703125" bestFit="1" customWidth="1"/>
    <col min="8713" max="8713" width="10.7109375" customWidth="1"/>
    <col min="8714" max="8714" width="10.85546875" customWidth="1"/>
    <col min="8715" max="8715" width="10.42578125" customWidth="1"/>
    <col min="8716" max="8716" width="15" customWidth="1"/>
    <col min="8717" max="8717" width="10.7109375" customWidth="1"/>
    <col min="8718" max="8718" width="14.140625" bestFit="1" customWidth="1"/>
    <col min="8719" max="8719" width="14" customWidth="1"/>
    <col min="8720" max="8720" width="14.140625" bestFit="1" customWidth="1"/>
    <col min="8721" max="8721" width="14.140625" customWidth="1"/>
    <col min="8722" max="8722" width="12.5703125" bestFit="1" customWidth="1"/>
    <col min="8723" max="8723" width="12.7109375" bestFit="1" customWidth="1"/>
    <col min="8961" max="8961" width="12.140625" customWidth="1"/>
    <col min="8962" max="8962" width="10.5703125" customWidth="1"/>
    <col min="8963" max="8963" width="9.5703125" customWidth="1"/>
    <col min="8964" max="8964" width="12" customWidth="1"/>
    <col min="8965" max="8965" width="39.85546875" customWidth="1"/>
    <col min="8966" max="8966" width="9.140625" customWidth="1"/>
    <col min="8967" max="8967" width="13" customWidth="1"/>
    <col min="8968" max="8968" width="12.5703125" bestFit="1" customWidth="1"/>
    <col min="8969" max="8969" width="10.7109375" customWidth="1"/>
    <col min="8970" max="8970" width="10.85546875" customWidth="1"/>
    <col min="8971" max="8971" width="10.42578125" customWidth="1"/>
    <col min="8972" max="8972" width="15" customWidth="1"/>
    <col min="8973" max="8973" width="10.7109375" customWidth="1"/>
    <col min="8974" max="8974" width="14.140625" bestFit="1" customWidth="1"/>
    <col min="8975" max="8975" width="14" customWidth="1"/>
    <col min="8976" max="8976" width="14.140625" bestFit="1" customWidth="1"/>
    <col min="8977" max="8977" width="14.140625" customWidth="1"/>
    <col min="8978" max="8978" width="12.5703125" bestFit="1" customWidth="1"/>
    <col min="8979" max="8979" width="12.7109375" bestFit="1" customWidth="1"/>
    <col min="9217" max="9217" width="12.140625" customWidth="1"/>
    <col min="9218" max="9218" width="10.5703125" customWidth="1"/>
    <col min="9219" max="9219" width="9.5703125" customWidth="1"/>
    <col min="9220" max="9220" width="12" customWidth="1"/>
    <col min="9221" max="9221" width="39.85546875" customWidth="1"/>
    <col min="9222" max="9222" width="9.140625" customWidth="1"/>
    <col min="9223" max="9223" width="13" customWidth="1"/>
    <col min="9224" max="9224" width="12.5703125" bestFit="1" customWidth="1"/>
    <col min="9225" max="9225" width="10.7109375" customWidth="1"/>
    <col min="9226" max="9226" width="10.85546875" customWidth="1"/>
    <col min="9227" max="9227" width="10.42578125" customWidth="1"/>
    <col min="9228" max="9228" width="15" customWidth="1"/>
    <col min="9229" max="9229" width="10.7109375" customWidth="1"/>
    <col min="9230" max="9230" width="14.140625" bestFit="1" customWidth="1"/>
    <col min="9231" max="9231" width="14" customWidth="1"/>
    <col min="9232" max="9232" width="14.140625" bestFit="1" customWidth="1"/>
    <col min="9233" max="9233" width="14.140625" customWidth="1"/>
    <col min="9234" max="9234" width="12.5703125" bestFit="1" customWidth="1"/>
    <col min="9235" max="9235" width="12.7109375" bestFit="1" customWidth="1"/>
    <col min="9473" max="9473" width="12.140625" customWidth="1"/>
    <col min="9474" max="9474" width="10.5703125" customWidth="1"/>
    <col min="9475" max="9475" width="9.5703125" customWidth="1"/>
    <col min="9476" max="9476" width="12" customWidth="1"/>
    <col min="9477" max="9477" width="39.85546875" customWidth="1"/>
    <col min="9478" max="9478" width="9.140625" customWidth="1"/>
    <col min="9479" max="9479" width="13" customWidth="1"/>
    <col min="9480" max="9480" width="12.5703125" bestFit="1" customWidth="1"/>
    <col min="9481" max="9481" width="10.7109375" customWidth="1"/>
    <col min="9482" max="9482" width="10.85546875" customWidth="1"/>
    <col min="9483" max="9483" width="10.42578125" customWidth="1"/>
    <col min="9484" max="9484" width="15" customWidth="1"/>
    <col min="9485" max="9485" width="10.7109375" customWidth="1"/>
    <col min="9486" max="9486" width="14.140625" bestFit="1" customWidth="1"/>
    <col min="9487" max="9487" width="14" customWidth="1"/>
    <col min="9488" max="9488" width="14.140625" bestFit="1" customWidth="1"/>
    <col min="9489" max="9489" width="14.140625" customWidth="1"/>
    <col min="9490" max="9490" width="12.5703125" bestFit="1" customWidth="1"/>
    <col min="9491" max="9491" width="12.7109375" bestFit="1" customWidth="1"/>
    <col min="9729" max="9729" width="12.140625" customWidth="1"/>
    <col min="9730" max="9730" width="10.5703125" customWidth="1"/>
    <col min="9731" max="9731" width="9.5703125" customWidth="1"/>
    <col min="9732" max="9732" width="12" customWidth="1"/>
    <col min="9733" max="9733" width="39.85546875" customWidth="1"/>
    <col min="9734" max="9734" width="9.140625" customWidth="1"/>
    <col min="9735" max="9735" width="13" customWidth="1"/>
    <col min="9736" max="9736" width="12.5703125" bestFit="1" customWidth="1"/>
    <col min="9737" max="9737" width="10.7109375" customWidth="1"/>
    <col min="9738" max="9738" width="10.85546875" customWidth="1"/>
    <col min="9739" max="9739" width="10.42578125" customWidth="1"/>
    <col min="9740" max="9740" width="15" customWidth="1"/>
    <col min="9741" max="9741" width="10.7109375" customWidth="1"/>
    <col min="9742" max="9742" width="14.140625" bestFit="1" customWidth="1"/>
    <col min="9743" max="9743" width="14" customWidth="1"/>
    <col min="9744" max="9744" width="14.140625" bestFit="1" customWidth="1"/>
    <col min="9745" max="9745" width="14.140625" customWidth="1"/>
    <col min="9746" max="9746" width="12.5703125" bestFit="1" customWidth="1"/>
    <col min="9747" max="9747" width="12.7109375" bestFit="1" customWidth="1"/>
    <col min="9985" max="9985" width="12.140625" customWidth="1"/>
    <col min="9986" max="9986" width="10.5703125" customWidth="1"/>
    <col min="9987" max="9987" width="9.5703125" customWidth="1"/>
    <col min="9988" max="9988" width="12" customWidth="1"/>
    <col min="9989" max="9989" width="39.85546875" customWidth="1"/>
    <col min="9990" max="9990" width="9.140625" customWidth="1"/>
    <col min="9991" max="9991" width="13" customWidth="1"/>
    <col min="9992" max="9992" width="12.5703125" bestFit="1" customWidth="1"/>
    <col min="9993" max="9993" width="10.7109375" customWidth="1"/>
    <col min="9994" max="9994" width="10.85546875" customWidth="1"/>
    <col min="9995" max="9995" width="10.42578125" customWidth="1"/>
    <col min="9996" max="9996" width="15" customWidth="1"/>
    <col min="9997" max="9997" width="10.7109375" customWidth="1"/>
    <col min="9998" max="9998" width="14.140625" bestFit="1" customWidth="1"/>
    <col min="9999" max="9999" width="14" customWidth="1"/>
    <col min="10000" max="10000" width="14.140625" bestFit="1" customWidth="1"/>
    <col min="10001" max="10001" width="14.140625" customWidth="1"/>
    <col min="10002" max="10002" width="12.5703125" bestFit="1" customWidth="1"/>
    <col min="10003" max="10003" width="12.7109375" bestFit="1" customWidth="1"/>
    <col min="10241" max="10241" width="12.140625" customWidth="1"/>
    <col min="10242" max="10242" width="10.5703125" customWidth="1"/>
    <col min="10243" max="10243" width="9.5703125" customWidth="1"/>
    <col min="10244" max="10244" width="12" customWidth="1"/>
    <col min="10245" max="10245" width="39.85546875" customWidth="1"/>
    <col min="10246" max="10246" width="9.140625" customWidth="1"/>
    <col min="10247" max="10247" width="13" customWidth="1"/>
    <col min="10248" max="10248" width="12.5703125" bestFit="1" customWidth="1"/>
    <col min="10249" max="10249" width="10.7109375" customWidth="1"/>
    <col min="10250" max="10250" width="10.85546875" customWidth="1"/>
    <col min="10251" max="10251" width="10.42578125" customWidth="1"/>
    <col min="10252" max="10252" width="15" customWidth="1"/>
    <col min="10253" max="10253" width="10.7109375" customWidth="1"/>
    <col min="10254" max="10254" width="14.140625" bestFit="1" customWidth="1"/>
    <col min="10255" max="10255" width="14" customWidth="1"/>
    <col min="10256" max="10256" width="14.140625" bestFit="1" customWidth="1"/>
    <col min="10257" max="10257" width="14.140625" customWidth="1"/>
    <col min="10258" max="10258" width="12.5703125" bestFit="1" customWidth="1"/>
    <col min="10259" max="10259" width="12.7109375" bestFit="1" customWidth="1"/>
    <col min="10497" max="10497" width="12.140625" customWidth="1"/>
    <col min="10498" max="10498" width="10.5703125" customWidth="1"/>
    <col min="10499" max="10499" width="9.5703125" customWidth="1"/>
    <col min="10500" max="10500" width="12" customWidth="1"/>
    <col min="10501" max="10501" width="39.85546875" customWidth="1"/>
    <col min="10502" max="10502" width="9.140625" customWidth="1"/>
    <col min="10503" max="10503" width="13" customWidth="1"/>
    <col min="10504" max="10504" width="12.5703125" bestFit="1" customWidth="1"/>
    <col min="10505" max="10505" width="10.7109375" customWidth="1"/>
    <col min="10506" max="10506" width="10.85546875" customWidth="1"/>
    <col min="10507" max="10507" width="10.42578125" customWidth="1"/>
    <col min="10508" max="10508" width="15" customWidth="1"/>
    <col min="10509" max="10509" width="10.7109375" customWidth="1"/>
    <col min="10510" max="10510" width="14.140625" bestFit="1" customWidth="1"/>
    <col min="10511" max="10511" width="14" customWidth="1"/>
    <col min="10512" max="10512" width="14.140625" bestFit="1" customWidth="1"/>
    <col min="10513" max="10513" width="14.140625" customWidth="1"/>
    <col min="10514" max="10514" width="12.5703125" bestFit="1" customWidth="1"/>
    <col min="10515" max="10515" width="12.7109375" bestFit="1" customWidth="1"/>
    <col min="10753" max="10753" width="12.140625" customWidth="1"/>
    <col min="10754" max="10754" width="10.5703125" customWidth="1"/>
    <col min="10755" max="10755" width="9.5703125" customWidth="1"/>
    <col min="10756" max="10756" width="12" customWidth="1"/>
    <col min="10757" max="10757" width="39.85546875" customWidth="1"/>
    <col min="10758" max="10758" width="9.140625" customWidth="1"/>
    <col min="10759" max="10759" width="13" customWidth="1"/>
    <col min="10760" max="10760" width="12.5703125" bestFit="1" customWidth="1"/>
    <col min="10761" max="10761" width="10.7109375" customWidth="1"/>
    <col min="10762" max="10762" width="10.85546875" customWidth="1"/>
    <col min="10763" max="10763" width="10.42578125" customWidth="1"/>
    <col min="10764" max="10764" width="15" customWidth="1"/>
    <col min="10765" max="10765" width="10.7109375" customWidth="1"/>
    <col min="10766" max="10766" width="14.140625" bestFit="1" customWidth="1"/>
    <col min="10767" max="10767" width="14" customWidth="1"/>
    <col min="10768" max="10768" width="14.140625" bestFit="1" customWidth="1"/>
    <col min="10769" max="10769" width="14.140625" customWidth="1"/>
    <col min="10770" max="10770" width="12.5703125" bestFit="1" customWidth="1"/>
    <col min="10771" max="10771" width="12.7109375" bestFit="1" customWidth="1"/>
    <col min="11009" max="11009" width="12.140625" customWidth="1"/>
    <col min="11010" max="11010" width="10.5703125" customWidth="1"/>
    <col min="11011" max="11011" width="9.5703125" customWidth="1"/>
    <col min="11012" max="11012" width="12" customWidth="1"/>
    <col min="11013" max="11013" width="39.85546875" customWidth="1"/>
    <col min="11014" max="11014" width="9.140625" customWidth="1"/>
    <col min="11015" max="11015" width="13" customWidth="1"/>
    <col min="11016" max="11016" width="12.5703125" bestFit="1" customWidth="1"/>
    <col min="11017" max="11017" width="10.7109375" customWidth="1"/>
    <col min="11018" max="11018" width="10.85546875" customWidth="1"/>
    <col min="11019" max="11019" width="10.42578125" customWidth="1"/>
    <col min="11020" max="11020" width="15" customWidth="1"/>
    <col min="11021" max="11021" width="10.7109375" customWidth="1"/>
    <col min="11022" max="11022" width="14.140625" bestFit="1" customWidth="1"/>
    <col min="11023" max="11023" width="14" customWidth="1"/>
    <col min="11024" max="11024" width="14.140625" bestFit="1" customWidth="1"/>
    <col min="11025" max="11025" width="14.140625" customWidth="1"/>
    <col min="11026" max="11026" width="12.5703125" bestFit="1" customWidth="1"/>
    <col min="11027" max="11027" width="12.7109375" bestFit="1" customWidth="1"/>
    <col min="11265" max="11265" width="12.140625" customWidth="1"/>
    <col min="11266" max="11266" width="10.5703125" customWidth="1"/>
    <col min="11267" max="11267" width="9.5703125" customWidth="1"/>
    <col min="11268" max="11268" width="12" customWidth="1"/>
    <col min="11269" max="11269" width="39.85546875" customWidth="1"/>
    <col min="11270" max="11270" width="9.140625" customWidth="1"/>
    <col min="11271" max="11271" width="13" customWidth="1"/>
    <col min="11272" max="11272" width="12.5703125" bestFit="1" customWidth="1"/>
    <col min="11273" max="11273" width="10.7109375" customWidth="1"/>
    <col min="11274" max="11274" width="10.85546875" customWidth="1"/>
    <col min="11275" max="11275" width="10.42578125" customWidth="1"/>
    <col min="11276" max="11276" width="15" customWidth="1"/>
    <col min="11277" max="11277" width="10.7109375" customWidth="1"/>
    <col min="11278" max="11278" width="14.140625" bestFit="1" customWidth="1"/>
    <col min="11279" max="11279" width="14" customWidth="1"/>
    <col min="11280" max="11280" width="14.140625" bestFit="1" customWidth="1"/>
    <col min="11281" max="11281" width="14.140625" customWidth="1"/>
    <col min="11282" max="11282" width="12.5703125" bestFit="1" customWidth="1"/>
    <col min="11283" max="11283" width="12.7109375" bestFit="1" customWidth="1"/>
    <col min="11521" max="11521" width="12.140625" customWidth="1"/>
    <col min="11522" max="11522" width="10.5703125" customWidth="1"/>
    <col min="11523" max="11523" width="9.5703125" customWidth="1"/>
    <col min="11524" max="11524" width="12" customWidth="1"/>
    <col min="11525" max="11525" width="39.85546875" customWidth="1"/>
    <col min="11526" max="11526" width="9.140625" customWidth="1"/>
    <col min="11527" max="11527" width="13" customWidth="1"/>
    <col min="11528" max="11528" width="12.5703125" bestFit="1" customWidth="1"/>
    <col min="11529" max="11529" width="10.7109375" customWidth="1"/>
    <col min="11530" max="11530" width="10.85546875" customWidth="1"/>
    <col min="11531" max="11531" width="10.42578125" customWidth="1"/>
    <col min="11532" max="11532" width="15" customWidth="1"/>
    <col min="11533" max="11533" width="10.7109375" customWidth="1"/>
    <col min="11534" max="11534" width="14.140625" bestFit="1" customWidth="1"/>
    <col min="11535" max="11535" width="14" customWidth="1"/>
    <col min="11536" max="11536" width="14.140625" bestFit="1" customWidth="1"/>
    <col min="11537" max="11537" width="14.140625" customWidth="1"/>
    <col min="11538" max="11538" width="12.5703125" bestFit="1" customWidth="1"/>
    <col min="11539" max="11539" width="12.7109375" bestFit="1" customWidth="1"/>
    <col min="11777" max="11777" width="12.140625" customWidth="1"/>
    <col min="11778" max="11778" width="10.5703125" customWidth="1"/>
    <col min="11779" max="11779" width="9.5703125" customWidth="1"/>
    <col min="11780" max="11780" width="12" customWidth="1"/>
    <col min="11781" max="11781" width="39.85546875" customWidth="1"/>
    <col min="11782" max="11782" width="9.140625" customWidth="1"/>
    <col min="11783" max="11783" width="13" customWidth="1"/>
    <col min="11784" max="11784" width="12.5703125" bestFit="1" customWidth="1"/>
    <col min="11785" max="11785" width="10.7109375" customWidth="1"/>
    <col min="11786" max="11786" width="10.85546875" customWidth="1"/>
    <col min="11787" max="11787" width="10.42578125" customWidth="1"/>
    <col min="11788" max="11788" width="15" customWidth="1"/>
    <col min="11789" max="11789" width="10.7109375" customWidth="1"/>
    <col min="11790" max="11790" width="14.140625" bestFit="1" customWidth="1"/>
    <col min="11791" max="11791" width="14" customWidth="1"/>
    <col min="11792" max="11792" width="14.140625" bestFit="1" customWidth="1"/>
    <col min="11793" max="11793" width="14.140625" customWidth="1"/>
    <col min="11794" max="11794" width="12.5703125" bestFit="1" customWidth="1"/>
    <col min="11795" max="11795" width="12.7109375" bestFit="1" customWidth="1"/>
    <col min="12033" max="12033" width="12.140625" customWidth="1"/>
    <col min="12034" max="12034" width="10.5703125" customWidth="1"/>
    <col min="12035" max="12035" width="9.5703125" customWidth="1"/>
    <col min="12036" max="12036" width="12" customWidth="1"/>
    <col min="12037" max="12037" width="39.85546875" customWidth="1"/>
    <col min="12038" max="12038" width="9.140625" customWidth="1"/>
    <col min="12039" max="12039" width="13" customWidth="1"/>
    <col min="12040" max="12040" width="12.5703125" bestFit="1" customWidth="1"/>
    <col min="12041" max="12041" width="10.7109375" customWidth="1"/>
    <col min="12042" max="12042" width="10.85546875" customWidth="1"/>
    <col min="12043" max="12043" width="10.42578125" customWidth="1"/>
    <col min="12044" max="12044" width="15" customWidth="1"/>
    <col min="12045" max="12045" width="10.7109375" customWidth="1"/>
    <col min="12046" max="12046" width="14.140625" bestFit="1" customWidth="1"/>
    <col min="12047" max="12047" width="14" customWidth="1"/>
    <col min="12048" max="12048" width="14.140625" bestFit="1" customWidth="1"/>
    <col min="12049" max="12049" width="14.140625" customWidth="1"/>
    <col min="12050" max="12050" width="12.5703125" bestFit="1" customWidth="1"/>
    <col min="12051" max="12051" width="12.7109375" bestFit="1" customWidth="1"/>
    <col min="12289" max="12289" width="12.140625" customWidth="1"/>
    <col min="12290" max="12290" width="10.5703125" customWidth="1"/>
    <col min="12291" max="12291" width="9.5703125" customWidth="1"/>
    <col min="12292" max="12292" width="12" customWidth="1"/>
    <col min="12293" max="12293" width="39.85546875" customWidth="1"/>
    <col min="12294" max="12294" width="9.140625" customWidth="1"/>
    <col min="12295" max="12295" width="13" customWidth="1"/>
    <col min="12296" max="12296" width="12.5703125" bestFit="1" customWidth="1"/>
    <col min="12297" max="12297" width="10.7109375" customWidth="1"/>
    <col min="12298" max="12298" width="10.85546875" customWidth="1"/>
    <col min="12299" max="12299" width="10.42578125" customWidth="1"/>
    <col min="12300" max="12300" width="15" customWidth="1"/>
    <col min="12301" max="12301" width="10.7109375" customWidth="1"/>
    <col min="12302" max="12302" width="14.140625" bestFit="1" customWidth="1"/>
    <col min="12303" max="12303" width="14" customWidth="1"/>
    <col min="12304" max="12304" width="14.140625" bestFit="1" customWidth="1"/>
    <col min="12305" max="12305" width="14.140625" customWidth="1"/>
    <col min="12306" max="12306" width="12.5703125" bestFit="1" customWidth="1"/>
    <col min="12307" max="12307" width="12.7109375" bestFit="1" customWidth="1"/>
    <col min="12545" max="12545" width="12.140625" customWidth="1"/>
    <col min="12546" max="12546" width="10.5703125" customWidth="1"/>
    <col min="12547" max="12547" width="9.5703125" customWidth="1"/>
    <col min="12548" max="12548" width="12" customWidth="1"/>
    <col min="12549" max="12549" width="39.85546875" customWidth="1"/>
    <col min="12550" max="12550" width="9.140625" customWidth="1"/>
    <col min="12551" max="12551" width="13" customWidth="1"/>
    <col min="12552" max="12552" width="12.5703125" bestFit="1" customWidth="1"/>
    <col min="12553" max="12553" width="10.7109375" customWidth="1"/>
    <col min="12554" max="12554" width="10.85546875" customWidth="1"/>
    <col min="12555" max="12555" width="10.42578125" customWidth="1"/>
    <col min="12556" max="12556" width="15" customWidth="1"/>
    <col min="12557" max="12557" width="10.7109375" customWidth="1"/>
    <col min="12558" max="12558" width="14.140625" bestFit="1" customWidth="1"/>
    <col min="12559" max="12559" width="14" customWidth="1"/>
    <col min="12560" max="12560" width="14.140625" bestFit="1" customWidth="1"/>
    <col min="12561" max="12561" width="14.140625" customWidth="1"/>
    <col min="12562" max="12562" width="12.5703125" bestFit="1" customWidth="1"/>
    <col min="12563" max="12563" width="12.7109375" bestFit="1" customWidth="1"/>
    <col min="12801" max="12801" width="12.140625" customWidth="1"/>
    <col min="12802" max="12802" width="10.5703125" customWidth="1"/>
    <col min="12803" max="12803" width="9.5703125" customWidth="1"/>
    <col min="12804" max="12804" width="12" customWidth="1"/>
    <col min="12805" max="12805" width="39.85546875" customWidth="1"/>
    <col min="12806" max="12806" width="9.140625" customWidth="1"/>
    <col min="12807" max="12807" width="13" customWidth="1"/>
    <col min="12808" max="12808" width="12.5703125" bestFit="1" customWidth="1"/>
    <col min="12809" max="12809" width="10.7109375" customWidth="1"/>
    <col min="12810" max="12810" width="10.85546875" customWidth="1"/>
    <col min="12811" max="12811" width="10.42578125" customWidth="1"/>
    <col min="12812" max="12812" width="15" customWidth="1"/>
    <col min="12813" max="12813" width="10.7109375" customWidth="1"/>
    <col min="12814" max="12814" width="14.140625" bestFit="1" customWidth="1"/>
    <col min="12815" max="12815" width="14" customWidth="1"/>
    <col min="12816" max="12816" width="14.140625" bestFit="1" customWidth="1"/>
    <col min="12817" max="12817" width="14.140625" customWidth="1"/>
    <col min="12818" max="12818" width="12.5703125" bestFit="1" customWidth="1"/>
    <col min="12819" max="12819" width="12.7109375" bestFit="1" customWidth="1"/>
    <col min="13057" max="13057" width="12.140625" customWidth="1"/>
    <col min="13058" max="13058" width="10.5703125" customWidth="1"/>
    <col min="13059" max="13059" width="9.5703125" customWidth="1"/>
    <col min="13060" max="13060" width="12" customWidth="1"/>
    <col min="13061" max="13061" width="39.85546875" customWidth="1"/>
    <col min="13062" max="13062" width="9.140625" customWidth="1"/>
    <col min="13063" max="13063" width="13" customWidth="1"/>
    <col min="13064" max="13064" width="12.5703125" bestFit="1" customWidth="1"/>
    <col min="13065" max="13065" width="10.7109375" customWidth="1"/>
    <col min="13066" max="13066" width="10.85546875" customWidth="1"/>
    <col min="13067" max="13067" width="10.42578125" customWidth="1"/>
    <col min="13068" max="13068" width="15" customWidth="1"/>
    <col min="13069" max="13069" width="10.7109375" customWidth="1"/>
    <col min="13070" max="13070" width="14.140625" bestFit="1" customWidth="1"/>
    <col min="13071" max="13071" width="14" customWidth="1"/>
    <col min="13072" max="13072" width="14.140625" bestFit="1" customWidth="1"/>
    <col min="13073" max="13073" width="14.140625" customWidth="1"/>
    <col min="13074" max="13074" width="12.5703125" bestFit="1" customWidth="1"/>
    <col min="13075" max="13075" width="12.7109375" bestFit="1" customWidth="1"/>
    <col min="13313" max="13313" width="12.140625" customWidth="1"/>
    <col min="13314" max="13314" width="10.5703125" customWidth="1"/>
    <col min="13315" max="13315" width="9.5703125" customWidth="1"/>
    <col min="13316" max="13316" width="12" customWidth="1"/>
    <col min="13317" max="13317" width="39.85546875" customWidth="1"/>
    <col min="13318" max="13318" width="9.140625" customWidth="1"/>
    <col min="13319" max="13319" width="13" customWidth="1"/>
    <col min="13320" max="13320" width="12.5703125" bestFit="1" customWidth="1"/>
    <col min="13321" max="13321" width="10.7109375" customWidth="1"/>
    <col min="13322" max="13322" width="10.85546875" customWidth="1"/>
    <col min="13323" max="13323" width="10.42578125" customWidth="1"/>
    <col min="13324" max="13324" width="15" customWidth="1"/>
    <col min="13325" max="13325" width="10.7109375" customWidth="1"/>
    <col min="13326" max="13326" width="14.140625" bestFit="1" customWidth="1"/>
    <col min="13327" max="13327" width="14" customWidth="1"/>
    <col min="13328" max="13328" width="14.140625" bestFit="1" customWidth="1"/>
    <col min="13329" max="13329" width="14.140625" customWidth="1"/>
    <col min="13330" max="13330" width="12.5703125" bestFit="1" customWidth="1"/>
    <col min="13331" max="13331" width="12.7109375" bestFit="1" customWidth="1"/>
    <col min="13569" max="13569" width="12.140625" customWidth="1"/>
    <col min="13570" max="13570" width="10.5703125" customWidth="1"/>
    <col min="13571" max="13571" width="9.5703125" customWidth="1"/>
    <col min="13572" max="13572" width="12" customWidth="1"/>
    <col min="13573" max="13573" width="39.85546875" customWidth="1"/>
    <col min="13574" max="13574" width="9.140625" customWidth="1"/>
    <col min="13575" max="13575" width="13" customWidth="1"/>
    <col min="13576" max="13576" width="12.5703125" bestFit="1" customWidth="1"/>
    <col min="13577" max="13577" width="10.7109375" customWidth="1"/>
    <col min="13578" max="13578" width="10.85546875" customWidth="1"/>
    <col min="13579" max="13579" width="10.42578125" customWidth="1"/>
    <col min="13580" max="13580" width="15" customWidth="1"/>
    <col min="13581" max="13581" width="10.7109375" customWidth="1"/>
    <col min="13582" max="13582" width="14.140625" bestFit="1" customWidth="1"/>
    <col min="13583" max="13583" width="14" customWidth="1"/>
    <col min="13584" max="13584" width="14.140625" bestFit="1" customWidth="1"/>
    <col min="13585" max="13585" width="14.140625" customWidth="1"/>
    <col min="13586" max="13586" width="12.5703125" bestFit="1" customWidth="1"/>
    <col min="13587" max="13587" width="12.7109375" bestFit="1" customWidth="1"/>
    <col min="13825" max="13825" width="12.140625" customWidth="1"/>
    <col min="13826" max="13826" width="10.5703125" customWidth="1"/>
    <col min="13827" max="13827" width="9.5703125" customWidth="1"/>
    <col min="13828" max="13828" width="12" customWidth="1"/>
    <col min="13829" max="13829" width="39.85546875" customWidth="1"/>
    <col min="13830" max="13830" width="9.140625" customWidth="1"/>
    <col min="13831" max="13831" width="13" customWidth="1"/>
    <col min="13832" max="13832" width="12.5703125" bestFit="1" customWidth="1"/>
    <col min="13833" max="13833" width="10.7109375" customWidth="1"/>
    <col min="13834" max="13834" width="10.85546875" customWidth="1"/>
    <col min="13835" max="13835" width="10.42578125" customWidth="1"/>
    <col min="13836" max="13836" width="15" customWidth="1"/>
    <col min="13837" max="13837" width="10.7109375" customWidth="1"/>
    <col min="13838" max="13838" width="14.140625" bestFit="1" customWidth="1"/>
    <col min="13839" max="13839" width="14" customWidth="1"/>
    <col min="13840" max="13840" width="14.140625" bestFit="1" customWidth="1"/>
    <col min="13841" max="13841" width="14.140625" customWidth="1"/>
    <col min="13842" max="13842" width="12.5703125" bestFit="1" customWidth="1"/>
    <col min="13843" max="13843" width="12.7109375" bestFit="1" customWidth="1"/>
    <col min="14081" max="14081" width="12.140625" customWidth="1"/>
    <col min="14082" max="14082" width="10.5703125" customWidth="1"/>
    <col min="14083" max="14083" width="9.5703125" customWidth="1"/>
    <col min="14084" max="14084" width="12" customWidth="1"/>
    <col min="14085" max="14085" width="39.85546875" customWidth="1"/>
    <col min="14086" max="14086" width="9.140625" customWidth="1"/>
    <col min="14087" max="14087" width="13" customWidth="1"/>
    <col min="14088" max="14088" width="12.5703125" bestFit="1" customWidth="1"/>
    <col min="14089" max="14089" width="10.7109375" customWidth="1"/>
    <col min="14090" max="14090" width="10.85546875" customWidth="1"/>
    <col min="14091" max="14091" width="10.42578125" customWidth="1"/>
    <col min="14092" max="14092" width="15" customWidth="1"/>
    <col min="14093" max="14093" width="10.7109375" customWidth="1"/>
    <col min="14094" max="14094" width="14.140625" bestFit="1" customWidth="1"/>
    <col min="14095" max="14095" width="14" customWidth="1"/>
    <col min="14096" max="14096" width="14.140625" bestFit="1" customWidth="1"/>
    <col min="14097" max="14097" width="14.140625" customWidth="1"/>
    <col min="14098" max="14098" width="12.5703125" bestFit="1" customWidth="1"/>
    <col min="14099" max="14099" width="12.7109375" bestFit="1" customWidth="1"/>
    <col min="14337" max="14337" width="12.140625" customWidth="1"/>
    <col min="14338" max="14338" width="10.5703125" customWidth="1"/>
    <col min="14339" max="14339" width="9.5703125" customWidth="1"/>
    <col min="14340" max="14340" width="12" customWidth="1"/>
    <col min="14341" max="14341" width="39.85546875" customWidth="1"/>
    <col min="14342" max="14342" width="9.140625" customWidth="1"/>
    <col min="14343" max="14343" width="13" customWidth="1"/>
    <col min="14344" max="14344" width="12.5703125" bestFit="1" customWidth="1"/>
    <col min="14345" max="14345" width="10.7109375" customWidth="1"/>
    <col min="14346" max="14346" width="10.85546875" customWidth="1"/>
    <col min="14347" max="14347" width="10.42578125" customWidth="1"/>
    <col min="14348" max="14348" width="15" customWidth="1"/>
    <col min="14349" max="14349" width="10.7109375" customWidth="1"/>
    <col min="14350" max="14350" width="14.140625" bestFit="1" customWidth="1"/>
    <col min="14351" max="14351" width="14" customWidth="1"/>
    <col min="14352" max="14352" width="14.140625" bestFit="1" customWidth="1"/>
    <col min="14353" max="14353" width="14.140625" customWidth="1"/>
    <col min="14354" max="14354" width="12.5703125" bestFit="1" customWidth="1"/>
    <col min="14355" max="14355" width="12.7109375" bestFit="1" customWidth="1"/>
    <col min="14593" max="14593" width="12.140625" customWidth="1"/>
    <col min="14594" max="14594" width="10.5703125" customWidth="1"/>
    <col min="14595" max="14595" width="9.5703125" customWidth="1"/>
    <col min="14596" max="14596" width="12" customWidth="1"/>
    <col min="14597" max="14597" width="39.85546875" customWidth="1"/>
    <col min="14598" max="14598" width="9.140625" customWidth="1"/>
    <col min="14599" max="14599" width="13" customWidth="1"/>
    <col min="14600" max="14600" width="12.5703125" bestFit="1" customWidth="1"/>
    <col min="14601" max="14601" width="10.7109375" customWidth="1"/>
    <col min="14602" max="14602" width="10.85546875" customWidth="1"/>
    <col min="14603" max="14603" width="10.42578125" customWidth="1"/>
    <col min="14604" max="14604" width="15" customWidth="1"/>
    <col min="14605" max="14605" width="10.7109375" customWidth="1"/>
    <col min="14606" max="14606" width="14.140625" bestFit="1" customWidth="1"/>
    <col min="14607" max="14607" width="14" customWidth="1"/>
    <col min="14608" max="14608" width="14.140625" bestFit="1" customWidth="1"/>
    <col min="14609" max="14609" width="14.140625" customWidth="1"/>
    <col min="14610" max="14610" width="12.5703125" bestFit="1" customWidth="1"/>
    <col min="14611" max="14611" width="12.7109375" bestFit="1" customWidth="1"/>
    <col min="14849" max="14849" width="12.140625" customWidth="1"/>
    <col min="14850" max="14850" width="10.5703125" customWidth="1"/>
    <col min="14851" max="14851" width="9.5703125" customWidth="1"/>
    <col min="14852" max="14852" width="12" customWidth="1"/>
    <col min="14853" max="14853" width="39.85546875" customWidth="1"/>
    <col min="14854" max="14854" width="9.140625" customWidth="1"/>
    <col min="14855" max="14855" width="13" customWidth="1"/>
    <col min="14856" max="14856" width="12.5703125" bestFit="1" customWidth="1"/>
    <col min="14857" max="14857" width="10.7109375" customWidth="1"/>
    <col min="14858" max="14858" width="10.85546875" customWidth="1"/>
    <col min="14859" max="14859" width="10.42578125" customWidth="1"/>
    <col min="14860" max="14860" width="15" customWidth="1"/>
    <col min="14861" max="14861" width="10.7109375" customWidth="1"/>
    <col min="14862" max="14862" width="14.140625" bestFit="1" customWidth="1"/>
    <col min="14863" max="14863" width="14" customWidth="1"/>
    <col min="14864" max="14864" width="14.140625" bestFit="1" customWidth="1"/>
    <col min="14865" max="14865" width="14.140625" customWidth="1"/>
    <col min="14866" max="14866" width="12.5703125" bestFit="1" customWidth="1"/>
    <col min="14867" max="14867" width="12.7109375" bestFit="1" customWidth="1"/>
    <col min="15105" max="15105" width="12.140625" customWidth="1"/>
    <col min="15106" max="15106" width="10.5703125" customWidth="1"/>
    <col min="15107" max="15107" width="9.5703125" customWidth="1"/>
    <col min="15108" max="15108" width="12" customWidth="1"/>
    <col min="15109" max="15109" width="39.85546875" customWidth="1"/>
    <col min="15110" max="15110" width="9.140625" customWidth="1"/>
    <col min="15111" max="15111" width="13" customWidth="1"/>
    <col min="15112" max="15112" width="12.5703125" bestFit="1" customWidth="1"/>
    <col min="15113" max="15113" width="10.7109375" customWidth="1"/>
    <col min="15114" max="15114" width="10.85546875" customWidth="1"/>
    <col min="15115" max="15115" width="10.42578125" customWidth="1"/>
    <col min="15116" max="15116" width="15" customWidth="1"/>
    <col min="15117" max="15117" width="10.7109375" customWidth="1"/>
    <col min="15118" max="15118" width="14.140625" bestFit="1" customWidth="1"/>
    <col min="15119" max="15119" width="14" customWidth="1"/>
    <col min="15120" max="15120" width="14.140625" bestFit="1" customWidth="1"/>
    <col min="15121" max="15121" width="14.140625" customWidth="1"/>
    <col min="15122" max="15122" width="12.5703125" bestFit="1" customWidth="1"/>
    <col min="15123" max="15123" width="12.7109375" bestFit="1" customWidth="1"/>
    <col min="15361" max="15361" width="12.140625" customWidth="1"/>
    <col min="15362" max="15362" width="10.5703125" customWidth="1"/>
    <col min="15363" max="15363" width="9.5703125" customWidth="1"/>
    <col min="15364" max="15364" width="12" customWidth="1"/>
    <col min="15365" max="15365" width="39.85546875" customWidth="1"/>
    <col min="15366" max="15366" width="9.140625" customWidth="1"/>
    <col min="15367" max="15367" width="13" customWidth="1"/>
    <col min="15368" max="15368" width="12.5703125" bestFit="1" customWidth="1"/>
    <col min="15369" max="15369" width="10.7109375" customWidth="1"/>
    <col min="15370" max="15370" width="10.85546875" customWidth="1"/>
    <col min="15371" max="15371" width="10.42578125" customWidth="1"/>
    <col min="15372" max="15372" width="15" customWidth="1"/>
    <col min="15373" max="15373" width="10.7109375" customWidth="1"/>
    <col min="15374" max="15374" width="14.140625" bestFit="1" customWidth="1"/>
    <col min="15375" max="15375" width="14" customWidth="1"/>
    <col min="15376" max="15376" width="14.140625" bestFit="1" customWidth="1"/>
    <col min="15377" max="15377" width="14.140625" customWidth="1"/>
    <col min="15378" max="15378" width="12.5703125" bestFit="1" customWidth="1"/>
    <col min="15379" max="15379" width="12.7109375" bestFit="1" customWidth="1"/>
    <col min="15617" max="15617" width="12.140625" customWidth="1"/>
    <col min="15618" max="15618" width="10.5703125" customWidth="1"/>
    <col min="15619" max="15619" width="9.5703125" customWidth="1"/>
    <col min="15620" max="15620" width="12" customWidth="1"/>
    <col min="15621" max="15621" width="39.85546875" customWidth="1"/>
    <col min="15622" max="15622" width="9.140625" customWidth="1"/>
    <col min="15623" max="15623" width="13" customWidth="1"/>
    <col min="15624" max="15624" width="12.5703125" bestFit="1" customWidth="1"/>
    <col min="15625" max="15625" width="10.7109375" customWidth="1"/>
    <col min="15626" max="15626" width="10.85546875" customWidth="1"/>
    <col min="15627" max="15627" width="10.42578125" customWidth="1"/>
    <col min="15628" max="15628" width="15" customWidth="1"/>
    <col min="15629" max="15629" width="10.7109375" customWidth="1"/>
    <col min="15630" max="15630" width="14.140625" bestFit="1" customWidth="1"/>
    <col min="15631" max="15631" width="14" customWidth="1"/>
    <col min="15632" max="15632" width="14.140625" bestFit="1" customWidth="1"/>
    <col min="15633" max="15633" width="14.140625" customWidth="1"/>
    <col min="15634" max="15634" width="12.5703125" bestFit="1" customWidth="1"/>
    <col min="15635" max="15635" width="12.7109375" bestFit="1" customWidth="1"/>
    <col min="15873" max="15873" width="12.140625" customWidth="1"/>
    <col min="15874" max="15874" width="10.5703125" customWidth="1"/>
    <col min="15875" max="15875" width="9.5703125" customWidth="1"/>
    <col min="15876" max="15876" width="12" customWidth="1"/>
    <col min="15877" max="15877" width="39.85546875" customWidth="1"/>
    <col min="15878" max="15878" width="9.140625" customWidth="1"/>
    <col min="15879" max="15879" width="13" customWidth="1"/>
    <col min="15880" max="15880" width="12.5703125" bestFit="1" customWidth="1"/>
    <col min="15881" max="15881" width="10.7109375" customWidth="1"/>
    <col min="15882" max="15882" width="10.85546875" customWidth="1"/>
    <col min="15883" max="15883" width="10.42578125" customWidth="1"/>
    <col min="15884" max="15884" width="15" customWidth="1"/>
    <col min="15885" max="15885" width="10.7109375" customWidth="1"/>
    <col min="15886" max="15886" width="14.140625" bestFit="1" customWidth="1"/>
    <col min="15887" max="15887" width="14" customWidth="1"/>
    <col min="15888" max="15888" width="14.140625" bestFit="1" customWidth="1"/>
    <col min="15889" max="15889" width="14.140625" customWidth="1"/>
    <col min="15890" max="15890" width="12.5703125" bestFit="1" customWidth="1"/>
    <col min="15891" max="15891" width="12.7109375" bestFit="1" customWidth="1"/>
    <col min="16129" max="16129" width="12.140625" customWidth="1"/>
    <col min="16130" max="16130" width="10.5703125" customWidth="1"/>
    <col min="16131" max="16131" width="9.5703125" customWidth="1"/>
    <col min="16132" max="16132" width="12" customWidth="1"/>
    <col min="16133" max="16133" width="39.85546875" customWidth="1"/>
    <col min="16134" max="16134" width="9.140625" customWidth="1"/>
    <col min="16135" max="16135" width="13" customWidth="1"/>
    <col min="16136" max="16136" width="12.5703125" bestFit="1" customWidth="1"/>
    <col min="16137" max="16137" width="10.7109375" customWidth="1"/>
    <col min="16138" max="16138" width="10.85546875" customWidth="1"/>
    <col min="16139" max="16139" width="10.42578125" customWidth="1"/>
    <col min="16140" max="16140" width="15" customWidth="1"/>
    <col min="16141" max="16141" width="10.7109375" customWidth="1"/>
    <col min="16142" max="16142" width="14.140625" bestFit="1" customWidth="1"/>
    <col min="16143" max="16143" width="14" customWidth="1"/>
    <col min="16144" max="16144" width="14.140625" bestFit="1" customWidth="1"/>
    <col min="16145" max="16145" width="14.140625" customWidth="1"/>
    <col min="16146" max="16146" width="12.5703125" bestFit="1" customWidth="1"/>
    <col min="16147" max="16147" width="12.7109375" bestFit="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9" ht="60" x14ac:dyDescent="0.25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6" t="s">
        <v>7</v>
      </c>
      <c r="H3" s="5" t="s">
        <v>8</v>
      </c>
      <c r="I3" s="7" t="s">
        <v>9</v>
      </c>
      <c r="J3" s="5" t="s">
        <v>10</v>
      </c>
      <c r="K3" s="8" t="s">
        <v>11</v>
      </c>
      <c r="L3" s="5" t="s">
        <v>12</v>
      </c>
      <c r="M3" s="9"/>
      <c r="N3" s="10"/>
      <c r="O3" s="11"/>
      <c r="P3" s="12"/>
      <c r="Q3" s="12"/>
      <c r="R3" s="13"/>
      <c r="S3" s="14"/>
    </row>
    <row r="4" spans="1:19" x14ac:dyDescent="0.25">
      <c r="A4" s="15" t="str">
        <f>'[1]Tabla 15'!B6</f>
        <v>Recreación</v>
      </c>
      <c r="B4" s="15" t="str">
        <f>'[1]RESUMEN SERVICIOS'!A2</f>
        <v>ENTRADAS</v>
      </c>
      <c r="C4" s="16">
        <f>+'[2]asiganción de ppto'!F46</f>
        <v>7000</v>
      </c>
      <c r="D4" s="17">
        <v>1</v>
      </c>
      <c r="E4" s="18" t="str">
        <f>VLOOKUP(D4,'[1]Tabla 15'!$B$15:$E$26,3,FALSE)</f>
        <v>Afiliados y beneficiarios categoria A</v>
      </c>
      <c r="F4" s="19">
        <v>0</v>
      </c>
      <c r="G4" s="19">
        <f>+F4-C$4</f>
        <v>-7000</v>
      </c>
      <c r="H4" s="20">
        <f t="shared" ref="H4:H10" si="0">IF(G4&gt;0,G4/$D$4,0%)</f>
        <v>0</v>
      </c>
      <c r="I4" s="21">
        <v>0</v>
      </c>
      <c r="J4" s="20">
        <f t="shared" ref="J4:J10" si="1">IF(G4&lt;=0,-G4/C$4,0%)</f>
        <v>1</v>
      </c>
      <c r="K4" s="22">
        <f t="shared" ref="K4:K10" si="2">IF(I4="NA","NA",IF(EXACT(I4,F4),0,(+F4-I4)/F4))</f>
        <v>0</v>
      </c>
      <c r="L4" s="23">
        <v>14000</v>
      </c>
      <c r="M4" s="24"/>
      <c r="N4" s="24"/>
      <c r="O4" s="14"/>
      <c r="P4" s="25"/>
      <c r="Q4" s="25"/>
      <c r="R4" s="14"/>
      <c r="S4" s="26"/>
    </row>
    <row r="5" spans="1:19" x14ac:dyDescent="0.25">
      <c r="A5" s="3"/>
      <c r="B5" s="3"/>
      <c r="C5" s="3"/>
      <c r="D5" s="17">
        <v>2</v>
      </c>
      <c r="E5" s="18" t="str">
        <f>VLOOKUP(D5,'[1]Tabla 15'!$B$15:$E$26,3,FALSE)</f>
        <v>Afiliados y beneficiarios categoria B</v>
      </c>
      <c r="F5" s="19">
        <v>0</v>
      </c>
      <c r="G5" s="19">
        <f>+F5-C$4</f>
        <v>-7000</v>
      </c>
      <c r="H5" s="20">
        <f t="shared" si="0"/>
        <v>0</v>
      </c>
      <c r="I5" s="21">
        <v>0</v>
      </c>
      <c r="J5" s="20">
        <f t="shared" si="1"/>
        <v>1</v>
      </c>
      <c r="K5" s="22">
        <f t="shared" si="2"/>
        <v>0</v>
      </c>
      <c r="L5" s="23">
        <v>17300</v>
      </c>
      <c r="M5" s="24"/>
      <c r="N5" s="24"/>
      <c r="O5" s="14"/>
      <c r="P5" s="25"/>
      <c r="Q5" s="25"/>
      <c r="R5" s="14"/>
      <c r="S5" s="26"/>
    </row>
    <row r="6" spans="1:19" x14ac:dyDescent="0.25">
      <c r="A6" s="3"/>
      <c r="B6" s="3"/>
      <c r="C6" s="3"/>
      <c r="D6" s="17">
        <v>3</v>
      </c>
      <c r="E6" s="18" t="str">
        <f>VLOOKUP(D6,'[1]Tabla 15'!$B$15:$E$26,3,FALSE)</f>
        <v>Representa el costo del servicio C</v>
      </c>
      <c r="F6" s="19">
        <f>C4</f>
        <v>7000</v>
      </c>
      <c r="G6" s="19">
        <f>+F6-$D$57</f>
        <v>6999</v>
      </c>
      <c r="H6" s="20">
        <f t="shared" si="0"/>
        <v>6999</v>
      </c>
      <c r="I6" s="21">
        <v>11900</v>
      </c>
      <c r="J6" s="20">
        <f t="shared" si="1"/>
        <v>0</v>
      </c>
      <c r="K6" s="22">
        <f t="shared" si="2"/>
        <v>-0.7</v>
      </c>
      <c r="L6" s="23">
        <v>650</v>
      </c>
      <c r="M6" s="24"/>
      <c r="N6" s="24"/>
      <c r="O6" s="14"/>
      <c r="P6" s="14"/>
      <c r="Q6" s="14"/>
      <c r="R6" s="25"/>
      <c r="S6" s="26"/>
    </row>
    <row r="7" spans="1:19" x14ac:dyDescent="0.25">
      <c r="A7" s="3"/>
      <c r="B7" s="3"/>
      <c r="C7" s="3"/>
      <c r="D7" s="17">
        <v>4</v>
      </c>
      <c r="E7" s="18" t="str">
        <f>VLOOKUP(D7,'[1]Tabla 15'!$B$15:$E$26,3,FALSE)</f>
        <v>D (No afiliados)</v>
      </c>
      <c r="F7" s="19">
        <f>CEILING(C4*1.15,100)</f>
        <v>8100</v>
      </c>
      <c r="G7" s="19">
        <f>+F7-$D$57</f>
        <v>8099</v>
      </c>
      <c r="H7" s="20">
        <f t="shared" si="0"/>
        <v>8099</v>
      </c>
      <c r="I7" s="21">
        <v>13700</v>
      </c>
      <c r="J7" s="20">
        <f t="shared" si="1"/>
        <v>0</v>
      </c>
      <c r="K7" s="22">
        <f t="shared" si="2"/>
        <v>-0.69135802469135799</v>
      </c>
      <c r="L7" s="23">
        <v>8000</v>
      </c>
      <c r="M7" s="24"/>
      <c r="N7" s="24"/>
      <c r="O7" s="14"/>
      <c r="P7" s="14"/>
      <c r="Q7" s="14"/>
      <c r="R7" s="27"/>
      <c r="S7" s="26"/>
    </row>
    <row r="8" spans="1:19" x14ac:dyDescent="0.25">
      <c r="A8" s="3"/>
      <c r="B8" s="3"/>
      <c r="C8" s="3"/>
      <c r="D8" s="17">
        <v>5</v>
      </c>
      <c r="E8" s="18" t="str">
        <f>VLOOKUP(D8,'[1]Tabla 15'!$B$15:$E$26,3,FALSE)</f>
        <v>Empresas (Servicios contratados por empresas afiliadas o no afiliadas)</v>
      </c>
      <c r="F8" s="19">
        <f>CEILING(C4*1.15,100)</f>
        <v>8100</v>
      </c>
      <c r="G8" s="19">
        <f>+F8-$D$57</f>
        <v>8099</v>
      </c>
      <c r="H8" s="20">
        <f t="shared" si="0"/>
        <v>8099</v>
      </c>
      <c r="I8" s="21">
        <v>13700</v>
      </c>
      <c r="J8" s="20">
        <f t="shared" si="1"/>
        <v>0</v>
      </c>
      <c r="K8" s="22">
        <f t="shared" si="2"/>
        <v>-0.69135802469135799</v>
      </c>
      <c r="L8" s="23">
        <v>10</v>
      </c>
      <c r="M8" s="24"/>
      <c r="N8" s="24"/>
      <c r="O8" s="14"/>
      <c r="P8" s="14"/>
      <c r="Q8" s="14"/>
      <c r="R8" s="27"/>
      <c r="S8" s="26"/>
    </row>
    <row r="9" spans="1:19" x14ac:dyDescent="0.25">
      <c r="A9" s="3"/>
      <c r="B9" s="3"/>
      <c r="C9" s="3"/>
      <c r="D9" s="17">
        <v>6</v>
      </c>
      <c r="E9" s="18" t="str">
        <f>VLOOKUP(D9,'[1]Tabla 15'!$B$15:$E$26,3,FALSE)</f>
        <v>Fondos de Ley (Aplica para reportar la cobertura de los Servicios Sociales a los Fondos de Ley)</v>
      </c>
      <c r="F9" s="19">
        <f>CEILING(C4*1.15,100)</f>
        <v>8100</v>
      </c>
      <c r="G9" s="19">
        <f>+F9-$D$57</f>
        <v>8099</v>
      </c>
      <c r="H9" s="20">
        <f t="shared" si="0"/>
        <v>8099</v>
      </c>
      <c r="I9" s="21">
        <v>13700</v>
      </c>
      <c r="J9" s="20">
        <f t="shared" si="1"/>
        <v>0</v>
      </c>
      <c r="K9" s="22">
        <f t="shared" si="2"/>
        <v>-0.69135802469135799</v>
      </c>
      <c r="L9" s="23">
        <v>20</v>
      </c>
      <c r="M9" s="24"/>
      <c r="N9" s="24"/>
      <c r="O9" s="14"/>
      <c r="P9" s="14"/>
      <c r="Q9" s="14"/>
      <c r="R9" s="27"/>
      <c r="S9" s="26"/>
    </row>
    <row r="10" spans="1:19" x14ac:dyDescent="0.25">
      <c r="A10" s="3"/>
      <c r="B10" s="3"/>
      <c r="C10" s="3"/>
      <c r="D10" s="17">
        <v>10</v>
      </c>
      <c r="E10" s="18" t="str">
        <f>VLOOKUP(D10,'[1]Tabla 15'!$B$15:$E$26,3,FALSE)</f>
        <v>Convenios (Esta categoría se utiliza para convenios con entidades, alcaldías, gobernaciones)</v>
      </c>
      <c r="F10" s="19">
        <f>CEILING(C4*1.15,100)</f>
        <v>8100</v>
      </c>
      <c r="G10" s="19">
        <f>+F10-$D$57</f>
        <v>8099</v>
      </c>
      <c r="H10" s="20">
        <f t="shared" si="0"/>
        <v>8099</v>
      </c>
      <c r="I10" s="21">
        <v>13700</v>
      </c>
      <c r="J10" s="20">
        <f t="shared" si="1"/>
        <v>0</v>
      </c>
      <c r="K10" s="22">
        <f t="shared" si="2"/>
        <v>-0.69135802469135799</v>
      </c>
      <c r="L10" s="23">
        <v>20</v>
      </c>
      <c r="M10" s="24"/>
      <c r="N10" s="24"/>
      <c r="O10" s="14"/>
      <c r="P10" s="14"/>
      <c r="Q10" s="14"/>
      <c r="R10" s="27"/>
      <c r="S10" s="26"/>
    </row>
    <row r="11" spans="1:19" x14ac:dyDescent="0.25">
      <c r="A11" s="2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8">
        <f>SUM(L4:L10)</f>
        <v>40000</v>
      </c>
      <c r="M11" s="29"/>
      <c r="N11" s="30"/>
      <c r="O11" s="14"/>
      <c r="P11" s="14"/>
      <c r="Q11" s="14"/>
      <c r="R11" s="14"/>
      <c r="S11" s="26"/>
    </row>
    <row r="12" spans="1:19" x14ac:dyDescent="0.25">
      <c r="A12" s="31"/>
      <c r="B12" s="31"/>
      <c r="C12" s="31"/>
      <c r="D12" s="31"/>
      <c r="E12" s="31"/>
      <c r="F12" s="32"/>
      <c r="G12" s="32"/>
      <c r="H12" s="31"/>
      <c r="I12" s="32"/>
      <c r="J12" s="31"/>
      <c r="K12" s="33"/>
      <c r="L12" s="34"/>
      <c r="M12" s="35"/>
      <c r="N12" s="36"/>
      <c r="O12" s="14"/>
      <c r="P12" s="14"/>
      <c r="Q12" s="14"/>
      <c r="R12" s="14"/>
      <c r="S12" s="26"/>
    </row>
    <row r="13" spans="1:19" x14ac:dyDescent="0.2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7"/>
      <c r="N13" s="4"/>
      <c r="O13" s="14"/>
      <c r="P13" s="14"/>
      <c r="Q13" s="14"/>
      <c r="R13" s="14"/>
      <c r="S13" s="26"/>
    </row>
    <row r="14" spans="1:19" ht="60" x14ac:dyDescent="0.25">
      <c r="A14" s="5" t="s">
        <v>2</v>
      </c>
      <c r="B14" s="5" t="s">
        <v>3</v>
      </c>
      <c r="C14" s="5" t="s">
        <v>4</v>
      </c>
      <c r="D14" s="5" t="s">
        <v>5</v>
      </c>
      <c r="E14" s="5"/>
      <c r="F14" s="6" t="s">
        <v>6</v>
      </c>
      <c r="G14" s="6" t="s">
        <v>7</v>
      </c>
      <c r="H14" s="5" t="s">
        <v>8</v>
      </c>
      <c r="I14" s="6" t="s">
        <v>9</v>
      </c>
      <c r="J14" s="5" t="s">
        <v>10</v>
      </c>
      <c r="K14" s="8" t="s">
        <v>11</v>
      </c>
      <c r="L14" s="5" t="s">
        <v>12</v>
      </c>
      <c r="M14" s="9"/>
      <c r="N14" s="9"/>
      <c r="O14" s="14"/>
      <c r="P14" s="14"/>
      <c r="Q14" s="14"/>
      <c r="R14" s="14"/>
      <c r="S14" s="26"/>
    </row>
    <row r="15" spans="1:19" x14ac:dyDescent="0.25">
      <c r="A15" s="38" t="str">
        <f>'[1]Tabla 15'!B7</f>
        <v>Recreación</v>
      </c>
      <c r="B15" s="38" t="str">
        <f>'[1]RESUMEN SERVICIOS'!A3</f>
        <v>PISCINAS</v>
      </c>
      <c r="C15" s="16">
        <f>+'[2]asiganción de ppto'!H46</f>
        <v>7500</v>
      </c>
      <c r="D15" s="17">
        <v>1</v>
      </c>
      <c r="E15" s="18" t="str">
        <f>VLOOKUP(D15,'[1]Tabla 15'!$B$15:$E$26,3,FALSE)</f>
        <v>Afiliados y beneficiarios categoria A</v>
      </c>
      <c r="F15" s="19">
        <v>0</v>
      </c>
      <c r="G15" s="19">
        <f t="shared" ref="G15:G21" si="3">+F15-$D$15</f>
        <v>-1</v>
      </c>
      <c r="H15" s="20">
        <f t="shared" ref="H15:H21" si="4">IF(G15&gt;0,G15/$D$15,0%)</f>
        <v>0</v>
      </c>
      <c r="I15" s="21">
        <v>0</v>
      </c>
      <c r="J15" s="20">
        <f t="shared" ref="J15:J21" si="5">IF(G15&lt;=0,-G15/$D$15,0%)</f>
        <v>1</v>
      </c>
      <c r="K15" s="22">
        <f t="shared" ref="K15:K21" si="6">IF(I15="NA","NA",IF(EXACT(I15,F15),0,(+F15-I15)/F15))</f>
        <v>0</v>
      </c>
      <c r="L15" s="23">
        <v>14000</v>
      </c>
      <c r="M15" s="24"/>
      <c r="N15" s="24"/>
      <c r="O15" s="14"/>
      <c r="P15" s="25"/>
      <c r="Q15" s="25"/>
      <c r="R15" s="14"/>
      <c r="S15" s="26"/>
    </row>
    <row r="16" spans="1:19" x14ac:dyDescent="0.25">
      <c r="A16" s="3"/>
      <c r="B16" s="3"/>
      <c r="C16" s="3"/>
      <c r="D16" s="17">
        <v>2</v>
      </c>
      <c r="E16" s="18" t="str">
        <f>VLOOKUP(D16,'[1]Tabla 15'!$B$15:$E$26,3,FALSE)</f>
        <v>Afiliados y beneficiarios categoria B</v>
      </c>
      <c r="F16" s="19">
        <v>0</v>
      </c>
      <c r="G16" s="19">
        <f t="shared" si="3"/>
        <v>-1</v>
      </c>
      <c r="H16" s="20">
        <f t="shared" si="4"/>
        <v>0</v>
      </c>
      <c r="I16" s="21">
        <v>0</v>
      </c>
      <c r="J16" s="20">
        <f t="shared" si="5"/>
        <v>1</v>
      </c>
      <c r="K16" s="22">
        <f t="shared" si="6"/>
        <v>0</v>
      </c>
      <c r="L16" s="23">
        <v>17300</v>
      </c>
      <c r="M16" s="24"/>
      <c r="N16" s="24"/>
      <c r="O16" s="14"/>
      <c r="P16" s="14"/>
      <c r="Q16" s="14"/>
      <c r="R16" s="14"/>
      <c r="S16" s="26"/>
    </row>
    <row r="17" spans="1:19" x14ac:dyDescent="0.25">
      <c r="A17" s="3"/>
      <c r="B17" s="3"/>
      <c r="C17" s="3"/>
      <c r="D17" s="17">
        <v>3</v>
      </c>
      <c r="E17" s="18" t="str">
        <f>VLOOKUP(D17,'[1]Tabla 15'!$B$15:$E$26,3,FALSE)</f>
        <v>Representa el costo del servicio C</v>
      </c>
      <c r="F17" s="19">
        <f>C15</f>
        <v>7500</v>
      </c>
      <c r="G17" s="19">
        <f t="shared" si="3"/>
        <v>7499</v>
      </c>
      <c r="H17" s="20">
        <f t="shared" si="4"/>
        <v>7499</v>
      </c>
      <c r="I17" s="21">
        <v>9900</v>
      </c>
      <c r="J17" s="20">
        <f t="shared" si="5"/>
        <v>0</v>
      </c>
      <c r="K17" s="22">
        <f t="shared" si="6"/>
        <v>-0.32</v>
      </c>
      <c r="L17" s="23">
        <v>650</v>
      </c>
      <c r="M17" s="24"/>
      <c r="N17" s="24"/>
      <c r="O17" s="14"/>
      <c r="P17" s="14"/>
      <c r="Q17" s="14"/>
      <c r="R17" s="27"/>
      <c r="S17" s="26"/>
    </row>
    <row r="18" spans="1:19" x14ac:dyDescent="0.25">
      <c r="A18" s="3"/>
      <c r="B18" s="3"/>
      <c r="C18" s="3"/>
      <c r="D18" s="17">
        <v>4</v>
      </c>
      <c r="E18" s="18" t="str">
        <f>VLOOKUP(D18,'[1]Tabla 15'!$B$15:$E$26,3,FALSE)</f>
        <v>D (No afiliados)</v>
      </c>
      <c r="F18" s="19">
        <f>CEILING(C15*1.15,100)</f>
        <v>8700</v>
      </c>
      <c r="G18" s="19">
        <f t="shared" si="3"/>
        <v>8699</v>
      </c>
      <c r="H18" s="20">
        <f t="shared" si="4"/>
        <v>8699</v>
      </c>
      <c r="I18" s="21">
        <v>11400</v>
      </c>
      <c r="J18" s="20">
        <f t="shared" si="5"/>
        <v>0</v>
      </c>
      <c r="K18" s="22">
        <f t="shared" si="6"/>
        <v>-0.31034482758620691</v>
      </c>
      <c r="L18" s="23">
        <v>8000</v>
      </c>
      <c r="M18" s="24"/>
      <c r="N18" s="24"/>
      <c r="O18" s="14"/>
      <c r="P18" s="14"/>
      <c r="Q18" s="14"/>
      <c r="R18" s="27"/>
      <c r="S18" s="26"/>
    </row>
    <row r="19" spans="1:19" x14ac:dyDescent="0.25">
      <c r="A19" s="3"/>
      <c r="B19" s="3"/>
      <c r="C19" s="3"/>
      <c r="D19" s="17">
        <v>5</v>
      </c>
      <c r="E19" s="18" t="str">
        <f>VLOOKUP(D19,'[1]Tabla 15'!$B$15:$E$26,3,FALSE)</f>
        <v>Empresas (Servicios contratados por empresas afiliadas o no afiliadas)</v>
      </c>
      <c r="F19" s="19">
        <f>CEILING(C15*1.15,100)</f>
        <v>8700</v>
      </c>
      <c r="G19" s="19">
        <f t="shared" si="3"/>
        <v>8699</v>
      </c>
      <c r="H19" s="20">
        <f t="shared" si="4"/>
        <v>8699</v>
      </c>
      <c r="I19" s="21">
        <v>11400</v>
      </c>
      <c r="J19" s="20">
        <f t="shared" si="5"/>
        <v>0</v>
      </c>
      <c r="K19" s="22">
        <f t="shared" si="6"/>
        <v>-0.31034482758620691</v>
      </c>
      <c r="L19" s="23">
        <v>10</v>
      </c>
      <c r="M19" s="24"/>
      <c r="N19" s="24"/>
      <c r="O19" s="14"/>
      <c r="P19" s="14"/>
      <c r="Q19" s="14"/>
      <c r="R19" s="27"/>
      <c r="S19" s="26"/>
    </row>
    <row r="20" spans="1:19" x14ac:dyDescent="0.25">
      <c r="A20" s="3"/>
      <c r="B20" s="3"/>
      <c r="C20" s="3"/>
      <c r="D20" s="17">
        <v>6</v>
      </c>
      <c r="E20" s="18" t="str">
        <f>VLOOKUP(D20,'[1]Tabla 15'!$B$15:$E$26,3,FALSE)</f>
        <v>Fondos de Ley (Aplica para reportar la cobertura de los Servicios Sociales a los Fondos de Ley)</v>
      </c>
      <c r="F20" s="19">
        <f>CEILING(C15*1.15,100)</f>
        <v>8700</v>
      </c>
      <c r="G20" s="19">
        <f t="shared" si="3"/>
        <v>8699</v>
      </c>
      <c r="H20" s="20">
        <f t="shared" si="4"/>
        <v>8699</v>
      </c>
      <c r="I20" s="21">
        <v>11400</v>
      </c>
      <c r="J20" s="20">
        <f t="shared" si="5"/>
        <v>0</v>
      </c>
      <c r="K20" s="22">
        <f t="shared" si="6"/>
        <v>-0.31034482758620691</v>
      </c>
      <c r="L20" s="23">
        <v>20</v>
      </c>
      <c r="M20" s="24"/>
      <c r="N20" s="24"/>
      <c r="O20" s="14"/>
      <c r="P20" s="14"/>
      <c r="Q20" s="14"/>
      <c r="R20" s="27"/>
      <c r="S20" s="26"/>
    </row>
    <row r="21" spans="1:19" x14ac:dyDescent="0.25">
      <c r="A21" s="3"/>
      <c r="B21" s="3"/>
      <c r="C21" s="3"/>
      <c r="D21" s="17">
        <v>10</v>
      </c>
      <c r="E21" s="18" t="str">
        <f>VLOOKUP(D21,'[1]Tabla 15'!$B$15:$E$26,3,FALSE)</f>
        <v>Convenios (Esta categoría se utiliza para convenios con entidades, alcaldías, gobernaciones)</v>
      </c>
      <c r="F21" s="19">
        <f>CEILING(C15*1.15,100)</f>
        <v>8700</v>
      </c>
      <c r="G21" s="19">
        <f t="shared" si="3"/>
        <v>8699</v>
      </c>
      <c r="H21" s="20">
        <f t="shared" si="4"/>
        <v>8699</v>
      </c>
      <c r="I21" s="21">
        <v>11400</v>
      </c>
      <c r="J21" s="20">
        <f t="shared" si="5"/>
        <v>0</v>
      </c>
      <c r="K21" s="22">
        <f t="shared" si="6"/>
        <v>-0.31034482758620691</v>
      </c>
      <c r="L21" s="23">
        <v>20</v>
      </c>
      <c r="M21" s="24"/>
      <c r="N21" s="24"/>
      <c r="O21" s="14"/>
      <c r="P21" s="14"/>
      <c r="Q21" s="14"/>
      <c r="R21" s="27"/>
      <c r="S21" s="26"/>
    </row>
    <row r="22" spans="1:19" x14ac:dyDescent="0.25">
      <c r="A22" s="2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9">
        <f>SUM(L15:L21)</f>
        <v>40000</v>
      </c>
      <c r="M22" s="30"/>
      <c r="N22" s="40"/>
      <c r="O22" s="14"/>
      <c r="P22" s="14"/>
      <c r="Q22" s="14"/>
      <c r="R22" s="14"/>
      <c r="S22" s="26"/>
    </row>
    <row r="23" spans="1:19" x14ac:dyDescent="0.25">
      <c r="A23" s="31"/>
      <c r="B23" s="31"/>
      <c r="C23" s="31"/>
      <c r="D23" s="31"/>
      <c r="E23" s="31"/>
      <c r="F23" s="32"/>
      <c r="G23" s="32"/>
      <c r="H23" s="31"/>
      <c r="I23" s="32"/>
      <c r="J23" s="31"/>
      <c r="K23" s="33"/>
      <c r="L23" s="41"/>
      <c r="M23" s="42"/>
      <c r="N23" s="43"/>
      <c r="O23" s="14"/>
      <c r="P23" s="14"/>
      <c r="Q23" s="14"/>
      <c r="R23" s="14"/>
      <c r="S23" s="26"/>
    </row>
    <row r="24" spans="1:19" x14ac:dyDescent="0.2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14"/>
      <c r="P24" s="14"/>
      <c r="Q24" s="14"/>
      <c r="R24" s="14"/>
      <c r="S24" s="26"/>
    </row>
    <row r="25" spans="1:19" ht="60" x14ac:dyDescent="0.25">
      <c r="A25" s="5" t="s">
        <v>2</v>
      </c>
      <c r="B25" s="5" t="s">
        <v>3</v>
      </c>
      <c r="C25" s="5" t="s">
        <v>4</v>
      </c>
      <c r="D25" s="5" t="s">
        <v>5</v>
      </c>
      <c r="E25" s="5"/>
      <c r="F25" s="6" t="s">
        <v>6</v>
      </c>
      <c r="G25" s="6" t="s">
        <v>7</v>
      </c>
      <c r="H25" s="5" t="s">
        <v>8</v>
      </c>
      <c r="I25" s="7" t="s">
        <v>9</v>
      </c>
      <c r="J25" s="5" t="s">
        <v>10</v>
      </c>
      <c r="K25" s="8" t="s">
        <v>11</v>
      </c>
      <c r="L25" s="5" t="s">
        <v>12</v>
      </c>
      <c r="M25" s="9"/>
      <c r="N25" s="9"/>
      <c r="O25" s="14"/>
      <c r="P25" s="14"/>
      <c r="Q25" s="14"/>
      <c r="R25" s="14"/>
      <c r="S25" s="26"/>
    </row>
    <row r="26" spans="1:19" x14ac:dyDescent="0.25">
      <c r="A26" s="15" t="str">
        <f>'[1]Tabla 15'!B6</f>
        <v>Recreación</v>
      </c>
      <c r="B26" s="15" t="str">
        <f>'[1]RESUMEN SERVICIOS'!A4</f>
        <v>BILLAR</v>
      </c>
      <c r="C26" s="16">
        <f>+'[2]asiganción de ppto'!L46</f>
        <v>9000</v>
      </c>
      <c r="D26" s="17">
        <v>1</v>
      </c>
      <c r="E26" s="18" t="str">
        <f>VLOOKUP(D26,'[1]Tabla 15'!$B$15:$E$26,3,FALSE)</f>
        <v>Afiliados y beneficiarios categoria A</v>
      </c>
      <c r="F26" s="19">
        <v>0</v>
      </c>
      <c r="G26" s="19">
        <f>+F26-$D$26</f>
        <v>-1</v>
      </c>
      <c r="H26" s="20">
        <f t="shared" ref="H26:H31" si="7">IF(G26&gt;0,G26/$D$26,0%)</f>
        <v>0</v>
      </c>
      <c r="I26" s="21">
        <v>0</v>
      </c>
      <c r="J26" s="20">
        <f t="shared" ref="J26:J31" si="8">IF(G26&lt;=0,-G26/$D$26,0%)</f>
        <v>1</v>
      </c>
      <c r="K26" s="22">
        <f t="shared" ref="K26:K31" si="9">IF(I26="NA","NA",IF(EXACT(I26,F26),0,(+F26-I26)/F26))</f>
        <v>0</v>
      </c>
      <c r="L26" s="23">
        <v>180</v>
      </c>
      <c r="M26" s="24"/>
      <c r="N26" s="24"/>
      <c r="O26" s="14"/>
      <c r="P26" s="25"/>
      <c r="Q26" s="25"/>
      <c r="R26" s="14"/>
      <c r="S26" s="26"/>
    </row>
    <row r="27" spans="1:19" x14ac:dyDescent="0.25">
      <c r="A27" s="3"/>
      <c r="B27" s="3"/>
      <c r="C27" s="3"/>
      <c r="D27" s="17">
        <v>2</v>
      </c>
      <c r="E27" s="18" t="str">
        <f>VLOOKUP(D27,'[1]Tabla 15'!$B$15:$E$26,3,FALSE)</f>
        <v>Afiliados y beneficiarios categoria B</v>
      </c>
      <c r="F27" s="19">
        <v>0</v>
      </c>
      <c r="G27" s="19">
        <f>+F27-$D$26</f>
        <v>-1</v>
      </c>
      <c r="H27" s="20">
        <f t="shared" si="7"/>
        <v>0</v>
      </c>
      <c r="I27" s="21">
        <v>0</v>
      </c>
      <c r="J27" s="20">
        <f t="shared" si="8"/>
        <v>1</v>
      </c>
      <c r="K27" s="22">
        <f t="shared" si="9"/>
        <v>0</v>
      </c>
      <c r="L27" s="23">
        <v>220</v>
      </c>
      <c r="M27" s="24"/>
      <c r="N27" s="24"/>
      <c r="O27" s="14"/>
      <c r="P27" s="14"/>
      <c r="Q27" s="14"/>
      <c r="R27" s="14"/>
      <c r="S27" s="26"/>
    </row>
    <row r="28" spans="1:19" x14ac:dyDescent="0.25">
      <c r="A28" s="3"/>
      <c r="B28" s="3"/>
      <c r="C28" s="3"/>
      <c r="D28" s="17">
        <v>3</v>
      </c>
      <c r="E28" s="18" t="str">
        <f>VLOOKUP(D28,'[1]Tabla 15'!$B$15:$E$26,3,FALSE)</f>
        <v>Representa el costo del servicio C</v>
      </c>
      <c r="F28" s="19">
        <f>C26</f>
        <v>9000</v>
      </c>
      <c r="G28" s="19">
        <f>+F28-$D$15</f>
        <v>8999</v>
      </c>
      <c r="H28" s="20">
        <f t="shared" si="7"/>
        <v>8999</v>
      </c>
      <c r="I28" s="21">
        <v>9000</v>
      </c>
      <c r="J28" s="20">
        <f t="shared" si="8"/>
        <v>0</v>
      </c>
      <c r="K28" s="22">
        <f t="shared" si="9"/>
        <v>0</v>
      </c>
      <c r="L28" s="23">
        <v>30</v>
      </c>
      <c r="M28" s="24"/>
      <c r="N28" s="24"/>
      <c r="O28" s="14"/>
      <c r="P28" s="14"/>
      <c r="Q28" s="14"/>
      <c r="R28" s="27"/>
      <c r="S28" s="26"/>
    </row>
    <row r="29" spans="1:19" x14ac:dyDescent="0.25">
      <c r="A29" s="3"/>
      <c r="B29" s="3"/>
      <c r="C29" s="3"/>
      <c r="D29" s="17">
        <v>4</v>
      </c>
      <c r="E29" s="18" t="str">
        <f>VLOOKUP(D29,'[1]Tabla 15'!$B$15:$E$26,3,FALSE)</f>
        <v>D (No afiliados)</v>
      </c>
      <c r="F29" s="19">
        <f>CEILING(C26*1.15,100)</f>
        <v>10400</v>
      </c>
      <c r="G29" s="19">
        <f>+F29-$D$15</f>
        <v>10399</v>
      </c>
      <c r="H29" s="20">
        <f t="shared" si="7"/>
        <v>10399</v>
      </c>
      <c r="I29" s="21">
        <v>10400</v>
      </c>
      <c r="J29" s="20">
        <f t="shared" si="8"/>
        <v>0</v>
      </c>
      <c r="K29" s="22">
        <f t="shared" si="9"/>
        <v>0</v>
      </c>
      <c r="L29" s="23">
        <v>50</v>
      </c>
      <c r="M29" s="24"/>
      <c r="N29" s="24"/>
      <c r="O29" s="14"/>
      <c r="P29" s="14"/>
      <c r="Q29" s="14"/>
      <c r="R29" s="27"/>
      <c r="S29" s="26"/>
    </row>
    <row r="30" spans="1:19" x14ac:dyDescent="0.25">
      <c r="A30" s="3"/>
      <c r="B30" s="3"/>
      <c r="C30" s="3"/>
      <c r="D30" s="17">
        <v>5</v>
      </c>
      <c r="E30" s="18" t="str">
        <f>VLOOKUP(D30,'[1]Tabla 15'!$B$15:$E$26,3,FALSE)</f>
        <v>Empresas (Servicios contratados por empresas afiliadas o no afiliadas)</v>
      </c>
      <c r="F30" s="19">
        <f>CEILING(C26*1.15,100)</f>
        <v>10400</v>
      </c>
      <c r="G30" s="19">
        <f>+F30-$D$15</f>
        <v>10399</v>
      </c>
      <c r="H30" s="20">
        <f t="shared" si="7"/>
        <v>10399</v>
      </c>
      <c r="I30" s="21">
        <v>10400</v>
      </c>
      <c r="J30" s="20">
        <f t="shared" si="8"/>
        <v>0</v>
      </c>
      <c r="K30" s="22">
        <f t="shared" si="9"/>
        <v>0</v>
      </c>
      <c r="L30" s="23">
        <v>10</v>
      </c>
      <c r="M30" s="24"/>
      <c r="N30" s="24"/>
      <c r="O30" s="14"/>
      <c r="P30" s="14"/>
      <c r="Q30" s="14"/>
      <c r="R30" s="27"/>
      <c r="S30" s="26"/>
    </row>
    <row r="31" spans="1:19" x14ac:dyDescent="0.25">
      <c r="A31" s="3"/>
      <c r="B31" s="3"/>
      <c r="C31" s="3"/>
      <c r="D31" s="17">
        <v>10</v>
      </c>
      <c r="E31" s="18" t="str">
        <f>VLOOKUP(D31,'[1]Tabla 15'!$B$15:$E$26,3,FALSE)</f>
        <v>Convenios (Esta categoría se utiliza para convenios con entidades, alcaldías, gobernaciones)</v>
      </c>
      <c r="F31" s="19">
        <f>CEILING(C26*1.15,100)</f>
        <v>10400</v>
      </c>
      <c r="G31" s="19">
        <f>+F31-$D$15</f>
        <v>10399</v>
      </c>
      <c r="H31" s="20">
        <f t="shared" si="7"/>
        <v>10399</v>
      </c>
      <c r="I31" s="21">
        <v>10400</v>
      </c>
      <c r="J31" s="20">
        <f t="shared" si="8"/>
        <v>0</v>
      </c>
      <c r="K31" s="22">
        <f t="shared" si="9"/>
        <v>0</v>
      </c>
      <c r="L31" s="23">
        <v>10</v>
      </c>
      <c r="M31" s="24"/>
      <c r="N31" s="24"/>
      <c r="O31" s="14"/>
      <c r="P31" s="14"/>
      <c r="Q31" s="14"/>
      <c r="R31" s="27"/>
      <c r="S31" s="26"/>
    </row>
    <row r="32" spans="1:19" x14ac:dyDescent="0.25">
      <c r="A32" s="2" t="s">
        <v>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9">
        <f>SUM(L26:L31)</f>
        <v>500</v>
      </c>
      <c r="M32" s="30"/>
      <c r="N32" s="30"/>
      <c r="O32" s="14"/>
      <c r="P32" s="14"/>
      <c r="Q32" s="14"/>
      <c r="R32" s="14"/>
      <c r="S32" s="26"/>
    </row>
    <row r="33" spans="1:19" x14ac:dyDescent="0.25">
      <c r="A33" s="31"/>
      <c r="B33" s="31"/>
      <c r="C33" s="31"/>
      <c r="D33" s="31"/>
      <c r="E33" s="31"/>
      <c r="F33" s="32"/>
      <c r="G33" s="32"/>
      <c r="H33" s="31"/>
      <c r="I33" s="32"/>
      <c r="J33" s="31"/>
      <c r="K33" s="33"/>
      <c r="L33" s="31"/>
      <c r="M33" s="44"/>
      <c r="N33" s="36"/>
      <c r="O33" s="14"/>
      <c r="P33" s="14"/>
      <c r="Q33" s="14"/>
      <c r="R33" s="14"/>
      <c r="S33" s="26"/>
    </row>
    <row r="34" spans="1:19" x14ac:dyDescent="0.2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14"/>
      <c r="P34" s="14"/>
      <c r="Q34" s="14"/>
      <c r="R34" s="14"/>
      <c r="S34" s="26"/>
    </row>
    <row r="35" spans="1:19" ht="60" x14ac:dyDescent="0.25">
      <c r="A35" s="5" t="s">
        <v>2</v>
      </c>
      <c r="B35" s="5" t="s">
        <v>3</v>
      </c>
      <c r="C35" s="5" t="s">
        <v>4</v>
      </c>
      <c r="D35" s="5" t="s">
        <v>5</v>
      </c>
      <c r="E35" s="5"/>
      <c r="F35" s="6" t="s">
        <v>6</v>
      </c>
      <c r="G35" s="6" t="s">
        <v>7</v>
      </c>
      <c r="H35" s="5" t="s">
        <v>8</v>
      </c>
      <c r="I35" s="7" t="s">
        <v>9</v>
      </c>
      <c r="J35" s="5" t="s">
        <v>10</v>
      </c>
      <c r="K35" s="8" t="s">
        <v>11</v>
      </c>
      <c r="L35" s="5" t="s">
        <v>12</v>
      </c>
      <c r="M35" s="9"/>
      <c r="N35" s="9"/>
      <c r="O35" s="14"/>
      <c r="P35" s="14"/>
      <c r="Q35" s="14"/>
      <c r="R35" s="14"/>
      <c r="S35" s="26"/>
    </row>
    <row r="36" spans="1:19" x14ac:dyDescent="0.25">
      <c r="A36" s="15" t="str">
        <f>'[1]Tabla 15'!B6</f>
        <v>Recreación</v>
      </c>
      <c r="B36" s="15" t="str">
        <f>'[1]RESUMEN SERVICIOS'!A5</f>
        <v>PING PONG</v>
      </c>
      <c r="C36" s="16">
        <f>+'[2]asiganción de ppto'!N46</f>
        <v>7500</v>
      </c>
      <c r="D36" s="17">
        <v>1</v>
      </c>
      <c r="E36" s="18" t="str">
        <f>VLOOKUP(D36,'[1]Tabla 15'!$B$15:$E$26,3,FALSE)</f>
        <v>Afiliados y beneficiarios categoria A</v>
      </c>
      <c r="F36" s="19">
        <v>0</v>
      </c>
      <c r="G36" s="19">
        <f>+F36-$D$36</f>
        <v>-1</v>
      </c>
      <c r="H36" s="20">
        <f t="shared" ref="H36:H41" si="10">IF(G36&gt;0,G36/$D$36,0%)</f>
        <v>0</v>
      </c>
      <c r="I36" s="21">
        <v>0</v>
      </c>
      <c r="J36" s="20">
        <f t="shared" ref="J36:J41" si="11">IF(G36&lt;=0,-G36/$D$36,0%)</f>
        <v>1</v>
      </c>
      <c r="K36" s="22">
        <f t="shared" ref="K36:K41" si="12">IF(I36="NA","NA",IF(EXACT(I36,F36),0,(+F36-I36)/F36))</f>
        <v>0</v>
      </c>
      <c r="L36" s="23">
        <v>180</v>
      </c>
      <c r="M36" s="24"/>
      <c r="N36" s="24"/>
      <c r="O36" s="14"/>
      <c r="P36" s="25"/>
      <c r="Q36" s="25"/>
      <c r="R36" s="14"/>
      <c r="S36" s="26"/>
    </row>
    <row r="37" spans="1:19" x14ac:dyDescent="0.25">
      <c r="A37" s="3"/>
      <c r="B37" s="3"/>
      <c r="C37" s="3"/>
      <c r="D37" s="17">
        <v>2</v>
      </c>
      <c r="E37" s="18" t="str">
        <f>VLOOKUP(D37,'[1]Tabla 15'!$B$15:$E$26,3,FALSE)</f>
        <v>Afiliados y beneficiarios categoria B</v>
      </c>
      <c r="F37" s="19">
        <v>0</v>
      </c>
      <c r="G37" s="19">
        <f>+F37-$D$36</f>
        <v>-1</v>
      </c>
      <c r="H37" s="20">
        <f t="shared" si="10"/>
        <v>0</v>
      </c>
      <c r="I37" s="21">
        <v>0</v>
      </c>
      <c r="J37" s="20">
        <f t="shared" si="11"/>
        <v>1</v>
      </c>
      <c r="K37" s="22">
        <f t="shared" si="12"/>
        <v>0</v>
      </c>
      <c r="L37" s="23">
        <v>220</v>
      </c>
      <c r="M37" s="24"/>
      <c r="N37" s="24"/>
      <c r="O37" s="14"/>
      <c r="P37" s="14"/>
      <c r="Q37" s="14"/>
      <c r="R37" s="14"/>
      <c r="S37" s="26"/>
    </row>
    <row r="38" spans="1:19" x14ac:dyDescent="0.25">
      <c r="A38" s="3"/>
      <c r="B38" s="3"/>
      <c r="C38" s="3"/>
      <c r="D38" s="17">
        <v>3</v>
      </c>
      <c r="E38" s="18" t="str">
        <f>VLOOKUP(D38,'[1]Tabla 15'!$B$15:$E$26,3,FALSE)</f>
        <v>Representa el costo del servicio C</v>
      </c>
      <c r="F38" s="19">
        <f>C36</f>
        <v>7500</v>
      </c>
      <c r="G38" s="19">
        <f>+F38-$D$15</f>
        <v>7499</v>
      </c>
      <c r="H38" s="20">
        <f t="shared" si="10"/>
        <v>7499</v>
      </c>
      <c r="I38" s="21">
        <v>6800</v>
      </c>
      <c r="J38" s="20">
        <f t="shared" si="11"/>
        <v>0</v>
      </c>
      <c r="K38" s="22">
        <f t="shared" si="12"/>
        <v>9.3333333333333338E-2</v>
      </c>
      <c r="L38" s="23">
        <v>30</v>
      </c>
      <c r="M38" s="24"/>
      <c r="N38" s="24"/>
      <c r="O38" s="14"/>
      <c r="P38" s="14"/>
      <c r="Q38" s="14"/>
      <c r="R38" s="27"/>
      <c r="S38" s="26"/>
    </row>
    <row r="39" spans="1:19" ht="20.25" customHeight="1" x14ac:dyDescent="0.25">
      <c r="A39" s="3"/>
      <c r="B39" s="3"/>
      <c r="C39" s="3"/>
      <c r="D39" s="17">
        <v>4</v>
      </c>
      <c r="E39" s="18" t="str">
        <f>VLOOKUP(D39,'[1]Tabla 15'!$B$15:$E$26,3,FALSE)</f>
        <v>D (No afiliados)</v>
      </c>
      <c r="F39" s="19">
        <f>CEILING(C36*1.15,100)</f>
        <v>8700</v>
      </c>
      <c r="G39" s="19">
        <f>+F39-$D$15</f>
        <v>8699</v>
      </c>
      <c r="H39" s="20">
        <f t="shared" si="10"/>
        <v>8699</v>
      </c>
      <c r="I39" s="21">
        <v>7900</v>
      </c>
      <c r="J39" s="20">
        <f t="shared" si="11"/>
        <v>0</v>
      </c>
      <c r="K39" s="22">
        <f t="shared" si="12"/>
        <v>9.1954022988505746E-2</v>
      </c>
      <c r="L39" s="23">
        <v>50</v>
      </c>
      <c r="M39" s="24"/>
      <c r="N39" s="24"/>
      <c r="O39" s="14"/>
      <c r="P39" s="45"/>
      <c r="Q39" s="14"/>
      <c r="R39" s="27"/>
      <c r="S39" s="26"/>
    </row>
    <row r="40" spans="1:19" x14ac:dyDescent="0.25">
      <c r="A40" s="3"/>
      <c r="B40" s="3"/>
      <c r="C40" s="3"/>
      <c r="D40" s="17">
        <v>5</v>
      </c>
      <c r="E40" s="18" t="str">
        <f>VLOOKUP(D40,'[1]Tabla 15'!$B$15:$E$26,3,FALSE)</f>
        <v>Empresas (Servicios contratados por empresas afiliadas o no afiliadas)</v>
      </c>
      <c r="F40" s="19">
        <f>CEILING(C36*1.15,100)</f>
        <v>8700</v>
      </c>
      <c r="G40" s="19">
        <f>+F40-$D$15</f>
        <v>8699</v>
      </c>
      <c r="H40" s="20">
        <f t="shared" si="10"/>
        <v>8699</v>
      </c>
      <c r="I40" s="21">
        <v>7900</v>
      </c>
      <c r="J40" s="20">
        <f t="shared" si="11"/>
        <v>0</v>
      </c>
      <c r="K40" s="22">
        <f t="shared" si="12"/>
        <v>9.1954022988505746E-2</v>
      </c>
      <c r="L40" s="23">
        <v>10</v>
      </c>
      <c r="M40" s="24"/>
      <c r="N40" s="24"/>
      <c r="O40" s="14"/>
      <c r="P40" s="14"/>
      <c r="Q40" s="14"/>
      <c r="R40" s="27"/>
      <c r="S40" s="26"/>
    </row>
    <row r="41" spans="1:19" x14ac:dyDescent="0.25">
      <c r="A41" s="3"/>
      <c r="B41" s="3"/>
      <c r="C41" s="3"/>
      <c r="D41" s="17">
        <v>10</v>
      </c>
      <c r="E41" s="18" t="str">
        <f>VLOOKUP(D41,'[1]Tabla 15'!$B$15:$E$26,3,FALSE)</f>
        <v>Convenios (Esta categoría se utiliza para convenios con entidades, alcaldías, gobernaciones)</v>
      </c>
      <c r="F41" s="19">
        <f>CEILING(C36*1.15,100)</f>
        <v>8700</v>
      </c>
      <c r="G41" s="19">
        <f>+F41-$D$15</f>
        <v>8699</v>
      </c>
      <c r="H41" s="20">
        <f t="shared" si="10"/>
        <v>8699</v>
      </c>
      <c r="I41" s="21">
        <v>7900</v>
      </c>
      <c r="J41" s="20">
        <f t="shared" si="11"/>
        <v>0</v>
      </c>
      <c r="K41" s="22">
        <f t="shared" si="12"/>
        <v>9.1954022988505746E-2</v>
      </c>
      <c r="L41" s="23">
        <v>10</v>
      </c>
      <c r="M41" s="24"/>
      <c r="N41" s="24"/>
      <c r="O41" s="14"/>
      <c r="P41" s="14"/>
      <c r="Q41" s="14"/>
      <c r="R41" s="27"/>
      <c r="S41" s="26"/>
    </row>
    <row r="42" spans="1:19" x14ac:dyDescent="0.25">
      <c r="A42" s="2" t="s">
        <v>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9">
        <f>SUM(L36:L41)</f>
        <v>500</v>
      </c>
      <c r="M42" s="30"/>
      <c r="N42" s="30"/>
      <c r="O42" s="14"/>
      <c r="P42" s="14"/>
      <c r="Q42" s="14"/>
      <c r="R42" s="14"/>
      <c r="S42" s="26"/>
    </row>
    <row r="43" spans="1:19" x14ac:dyDescent="0.25">
      <c r="A43" s="31"/>
      <c r="B43" s="31"/>
      <c r="C43" s="31"/>
      <c r="D43" s="31"/>
      <c r="E43" s="31"/>
      <c r="F43" s="32"/>
      <c r="G43" s="32"/>
      <c r="H43" s="31"/>
      <c r="I43" s="32"/>
      <c r="J43" s="31"/>
      <c r="K43" s="33"/>
      <c r="L43" s="41"/>
      <c r="M43" s="42"/>
      <c r="N43" s="43"/>
      <c r="O43" s="14"/>
      <c r="P43" s="14"/>
      <c r="Q43" s="14"/>
      <c r="R43" s="14"/>
      <c r="S43" s="26"/>
    </row>
    <row r="44" spans="1:19" x14ac:dyDescent="0.25">
      <c r="A44" s="2" t="s">
        <v>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14"/>
      <c r="P44" s="14"/>
      <c r="Q44" s="14"/>
      <c r="R44" s="14"/>
      <c r="S44" s="26"/>
    </row>
    <row r="45" spans="1:19" ht="60" x14ac:dyDescent="0.25">
      <c r="A45" s="5" t="s">
        <v>2</v>
      </c>
      <c r="B45" s="5" t="s">
        <v>3</v>
      </c>
      <c r="C45" s="5" t="s">
        <v>4</v>
      </c>
      <c r="D45" s="5" t="s">
        <v>5</v>
      </c>
      <c r="E45" s="5"/>
      <c r="F45" s="6" t="s">
        <v>6</v>
      </c>
      <c r="G45" s="6" t="s">
        <v>7</v>
      </c>
      <c r="H45" s="5" t="s">
        <v>8</v>
      </c>
      <c r="I45" s="7" t="s">
        <v>9</v>
      </c>
      <c r="J45" s="5" t="s">
        <v>10</v>
      </c>
      <c r="K45" s="8" t="s">
        <v>11</v>
      </c>
      <c r="L45" s="5" t="s">
        <v>12</v>
      </c>
      <c r="M45" s="9"/>
      <c r="N45" s="9"/>
      <c r="O45" s="14"/>
      <c r="P45" s="14"/>
      <c r="Q45" s="14"/>
      <c r="R45" s="14"/>
      <c r="S45" s="26"/>
    </row>
    <row r="46" spans="1:19" x14ac:dyDescent="0.25">
      <c r="A46" s="15" t="str">
        <f>'[1]Tabla 15'!B6</f>
        <v>Recreación</v>
      </c>
      <c r="B46" s="15" t="str">
        <f>'[1]RESUMEN SERVICIOS'!A6</f>
        <v>AUDITORIO/KIOSKO 
(hora)</v>
      </c>
      <c r="C46" s="16">
        <f>+'[2]asiganción de ppto'!R46</f>
        <v>40000</v>
      </c>
      <c r="D46" s="17">
        <v>1</v>
      </c>
      <c r="E46" s="18" t="str">
        <f>VLOOKUP(D46,'[1]Tabla 15'!$B$15:$E$26,3,FALSE)</f>
        <v>Afiliados y beneficiarios categoria A</v>
      </c>
      <c r="F46" s="19">
        <v>0</v>
      </c>
      <c r="G46" s="19">
        <f t="shared" ref="G46:G52" si="13">+F46-$D$46</f>
        <v>-1</v>
      </c>
      <c r="H46" s="20">
        <f t="shared" ref="H46:H52" si="14">IF(G46&gt;0,G46/$D$46,0%)</f>
        <v>0</v>
      </c>
      <c r="I46" s="21">
        <v>0</v>
      </c>
      <c r="J46" s="20">
        <f t="shared" ref="J46:J52" si="15">IF(G46&lt;=0,-G46/$D$46,0%)</f>
        <v>1</v>
      </c>
      <c r="K46" s="22">
        <f t="shared" ref="K46:K52" si="16">IF(I46="NA","NA",IF(EXACT(I46,F46),0,(+F46-I46)/F46))</f>
        <v>0</v>
      </c>
      <c r="L46" s="46">
        <v>782</v>
      </c>
      <c r="M46" s="47"/>
      <c r="N46" s="47"/>
      <c r="O46" s="14"/>
      <c r="P46" s="25"/>
      <c r="Q46" s="25"/>
      <c r="R46" s="14"/>
      <c r="S46" s="26"/>
    </row>
    <row r="47" spans="1:19" x14ac:dyDescent="0.25">
      <c r="A47" s="3"/>
      <c r="B47" s="3"/>
      <c r="C47" s="3"/>
      <c r="D47" s="17">
        <v>2</v>
      </c>
      <c r="E47" s="18" t="str">
        <f>VLOOKUP(D47,'[1]Tabla 15'!$B$15:$E$26,3,FALSE)</f>
        <v>Afiliados y beneficiarios categoria B</v>
      </c>
      <c r="F47" s="19">
        <v>0</v>
      </c>
      <c r="G47" s="19">
        <f t="shared" si="13"/>
        <v>-1</v>
      </c>
      <c r="H47" s="20">
        <f t="shared" si="14"/>
        <v>0</v>
      </c>
      <c r="I47" s="21">
        <v>0</v>
      </c>
      <c r="J47" s="20">
        <f t="shared" si="15"/>
        <v>1</v>
      </c>
      <c r="K47" s="22">
        <f t="shared" si="16"/>
        <v>0</v>
      </c>
      <c r="L47" s="46">
        <v>983</v>
      </c>
      <c r="M47" s="47"/>
      <c r="N47" s="47"/>
      <c r="O47" s="14"/>
      <c r="P47" s="14"/>
      <c r="Q47" s="14"/>
      <c r="R47" s="14"/>
      <c r="S47" s="26"/>
    </row>
    <row r="48" spans="1:19" x14ac:dyDescent="0.25">
      <c r="A48" s="3"/>
      <c r="B48" s="3"/>
      <c r="C48" s="3"/>
      <c r="D48" s="17">
        <v>3</v>
      </c>
      <c r="E48" s="18" t="str">
        <f>VLOOKUP(D48,'[1]Tabla 15'!$B$15:$E$26,3,FALSE)</f>
        <v>Representa el costo del servicio C</v>
      </c>
      <c r="F48" s="19">
        <f>C46</f>
        <v>40000</v>
      </c>
      <c r="G48" s="19">
        <f t="shared" si="13"/>
        <v>39999</v>
      </c>
      <c r="H48" s="20">
        <f t="shared" si="14"/>
        <v>39999</v>
      </c>
      <c r="I48" s="21">
        <v>48200</v>
      </c>
      <c r="J48" s="20">
        <f t="shared" si="15"/>
        <v>0</v>
      </c>
      <c r="K48" s="22">
        <f t="shared" si="16"/>
        <v>-0.20499999999999999</v>
      </c>
      <c r="L48" s="46">
        <v>50</v>
      </c>
      <c r="M48" s="47"/>
      <c r="N48" s="47"/>
      <c r="O48" s="14"/>
      <c r="P48" s="14"/>
      <c r="Q48" s="14"/>
      <c r="R48" s="27"/>
      <c r="S48" s="26"/>
    </row>
    <row r="49" spans="1:19" x14ac:dyDescent="0.25">
      <c r="A49" s="3"/>
      <c r="B49" s="3"/>
      <c r="C49" s="3"/>
      <c r="D49" s="17">
        <v>4</v>
      </c>
      <c r="E49" s="18" t="str">
        <f>VLOOKUP(D49,'[1]Tabla 15'!$B$15:$E$26,3,FALSE)</f>
        <v>D (No afiliados)</v>
      </c>
      <c r="F49" s="19">
        <f>CEILING(C46*1.25,100)</f>
        <v>50000</v>
      </c>
      <c r="G49" s="19">
        <f t="shared" si="13"/>
        <v>49999</v>
      </c>
      <c r="H49" s="20">
        <f t="shared" si="14"/>
        <v>49999</v>
      </c>
      <c r="I49" s="21">
        <v>60300</v>
      </c>
      <c r="J49" s="20">
        <f t="shared" si="15"/>
        <v>0</v>
      </c>
      <c r="K49" s="22">
        <f t="shared" si="16"/>
        <v>-0.20599999999999999</v>
      </c>
      <c r="L49" s="46">
        <v>50</v>
      </c>
      <c r="M49" s="47"/>
      <c r="N49" s="47"/>
      <c r="O49" s="14"/>
      <c r="P49" s="14"/>
      <c r="Q49" s="14"/>
      <c r="R49" s="27"/>
      <c r="S49" s="26"/>
    </row>
    <row r="50" spans="1:19" x14ac:dyDescent="0.25">
      <c r="A50" s="3"/>
      <c r="B50" s="3"/>
      <c r="C50" s="3"/>
      <c r="D50" s="17">
        <v>5</v>
      </c>
      <c r="E50" s="18" t="str">
        <f>VLOOKUP(D50,'[1]Tabla 15'!$B$15:$E$26,3,FALSE)</f>
        <v>Empresas (Servicios contratados por empresas afiliadas o no afiliadas)</v>
      </c>
      <c r="F50" s="19">
        <f>C46</f>
        <v>40000</v>
      </c>
      <c r="G50" s="19">
        <f t="shared" si="13"/>
        <v>39999</v>
      </c>
      <c r="H50" s="20">
        <f t="shared" si="14"/>
        <v>39999</v>
      </c>
      <c r="I50" s="21">
        <v>48200</v>
      </c>
      <c r="J50" s="20">
        <f t="shared" si="15"/>
        <v>0</v>
      </c>
      <c r="K50" s="22">
        <f t="shared" si="16"/>
        <v>-0.20499999999999999</v>
      </c>
      <c r="L50" s="46">
        <v>30</v>
      </c>
      <c r="M50" s="47"/>
      <c r="N50" s="47"/>
      <c r="O50" s="14"/>
      <c r="P50" s="14"/>
      <c r="Q50" s="14"/>
      <c r="R50" s="27"/>
      <c r="S50" s="26"/>
    </row>
    <row r="51" spans="1:19" x14ac:dyDescent="0.25">
      <c r="A51" s="3"/>
      <c r="B51" s="3"/>
      <c r="C51" s="3"/>
      <c r="D51" s="17">
        <v>6</v>
      </c>
      <c r="E51" s="18" t="str">
        <f>VLOOKUP(D51,'[1]Tabla 15'!$B$15:$E$26,3,FALSE)</f>
        <v>Fondos de Ley (Aplica para reportar la cobertura de los Servicios Sociales a los Fondos de Ley)</v>
      </c>
      <c r="F51" s="19">
        <f>C46</f>
        <v>40000</v>
      </c>
      <c r="G51" s="19">
        <f t="shared" si="13"/>
        <v>39999</v>
      </c>
      <c r="H51" s="20">
        <f t="shared" si="14"/>
        <v>39999</v>
      </c>
      <c r="I51" s="21">
        <v>48200</v>
      </c>
      <c r="J51" s="20">
        <f t="shared" si="15"/>
        <v>0</v>
      </c>
      <c r="K51" s="22">
        <f t="shared" si="16"/>
        <v>-0.20499999999999999</v>
      </c>
      <c r="L51" s="46">
        <v>25</v>
      </c>
      <c r="M51" s="47"/>
      <c r="N51" s="47"/>
      <c r="O51" s="14"/>
      <c r="P51" s="14"/>
      <c r="Q51" s="14"/>
      <c r="R51" s="27"/>
      <c r="S51" s="26"/>
    </row>
    <row r="52" spans="1:19" x14ac:dyDescent="0.25">
      <c r="A52" s="3"/>
      <c r="B52" s="3"/>
      <c r="C52" s="3"/>
      <c r="D52" s="17">
        <v>10</v>
      </c>
      <c r="E52" s="18" t="str">
        <f>VLOOKUP(D52,'[1]Tabla 15'!$B$15:$E$26,3,FALSE)</f>
        <v>Convenios (Esta categoría se utiliza para convenios con entidades, alcaldías, gobernaciones)</v>
      </c>
      <c r="F52" s="19">
        <f>C46</f>
        <v>40000</v>
      </c>
      <c r="G52" s="19">
        <f t="shared" si="13"/>
        <v>39999</v>
      </c>
      <c r="H52" s="20">
        <f t="shared" si="14"/>
        <v>39999</v>
      </c>
      <c r="I52" s="21" t="s">
        <v>14</v>
      </c>
      <c r="J52" s="20">
        <f t="shared" si="15"/>
        <v>0</v>
      </c>
      <c r="K52" s="22" t="str">
        <f t="shared" si="16"/>
        <v>NA</v>
      </c>
      <c r="L52" s="46"/>
      <c r="M52" s="47"/>
      <c r="N52" s="47"/>
      <c r="O52" s="14"/>
      <c r="P52" s="14"/>
      <c r="Q52" s="14"/>
      <c r="R52" s="27"/>
      <c r="S52" s="26"/>
    </row>
    <row r="53" spans="1:19" x14ac:dyDescent="0.25">
      <c r="A53" s="2" t="s">
        <v>13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9">
        <f>SUM(L46:L52)</f>
        <v>1920</v>
      </c>
      <c r="M53" s="30"/>
      <c r="N53" s="30"/>
      <c r="O53" s="14"/>
      <c r="P53" s="14"/>
      <c r="Q53" s="14"/>
      <c r="R53" s="14"/>
      <c r="S53" s="26"/>
    </row>
    <row r="54" spans="1:19" x14ac:dyDescent="0.25">
      <c r="A54" s="31"/>
      <c r="B54" s="31"/>
      <c r="C54" s="31"/>
      <c r="D54" s="31"/>
      <c r="E54" s="31"/>
      <c r="F54" s="32"/>
      <c r="G54" s="32"/>
      <c r="H54" s="31"/>
      <c r="I54" s="32"/>
      <c r="J54" s="31"/>
      <c r="K54" s="33"/>
      <c r="L54" s="31"/>
      <c r="M54" s="44"/>
      <c r="N54" s="36"/>
      <c r="O54" s="14"/>
      <c r="P54" s="14"/>
      <c r="Q54" s="14"/>
      <c r="R54" s="14"/>
      <c r="S54" s="26"/>
    </row>
    <row r="55" spans="1:19" x14ac:dyDescent="0.2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14"/>
      <c r="P55" s="14"/>
      <c r="Q55" s="14"/>
      <c r="R55" s="14"/>
      <c r="S55" s="26"/>
    </row>
    <row r="56" spans="1:19" ht="60" x14ac:dyDescent="0.25">
      <c r="A56" s="5" t="s">
        <v>2</v>
      </c>
      <c r="B56" s="5" t="s">
        <v>3</v>
      </c>
      <c r="C56" s="5" t="s">
        <v>4</v>
      </c>
      <c r="D56" s="5" t="s">
        <v>5</v>
      </c>
      <c r="E56" s="5"/>
      <c r="F56" s="6" t="s">
        <v>6</v>
      </c>
      <c r="G56" s="6" t="s">
        <v>7</v>
      </c>
      <c r="H56" s="5" t="s">
        <v>8</v>
      </c>
      <c r="I56" s="7" t="s">
        <v>9</v>
      </c>
      <c r="J56" s="5" t="s">
        <v>10</v>
      </c>
      <c r="K56" s="8" t="s">
        <v>11</v>
      </c>
      <c r="L56" s="5" t="s">
        <v>12</v>
      </c>
      <c r="M56" s="9"/>
      <c r="N56" s="9"/>
      <c r="O56" s="14"/>
      <c r="P56" s="14"/>
      <c r="Q56" s="14"/>
      <c r="R56" s="14"/>
      <c r="S56" s="26"/>
    </row>
    <row r="57" spans="1:19" x14ac:dyDescent="0.25">
      <c r="A57" s="15" t="str">
        <f>'[1]Tabla 15'!B6</f>
        <v>Recreación</v>
      </c>
      <c r="B57" s="15" t="str">
        <f>'[1]RESUMEN SERVICIOS'!A7</f>
        <v>SALON SOCIAL 
(hora)</v>
      </c>
      <c r="C57" s="16">
        <f>+'[2]asiganción de ppto'!Z46</f>
        <v>44000</v>
      </c>
      <c r="D57" s="17">
        <v>1</v>
      </c>
      <c r="E57" s="18" t="str">
        <f>VLOOKUP(D57,'[1]Tabla 15'!$B$15:$E$26,3,FALSE)</f>
        <v>Afiliados y beneficiarios categoria A</v>
      </c>
      <c r="F57" s="19">
        <v>0</v>
      </c>
      <c r="G57" s="19">
        <f t="shared" ref="G57:G62" si="17">+F57-$D$57</f>
        <v>-1</v>
      </c>
      <c r="H57" s="20">
        <f t="shared" ref="H57:H63" si="18">IF(G57&gt;0,G57/$D$57,0%)</f>
        <v>0</v>
      </c>
      <c r="I57" s="21">
        <v>0</v>
      </c>
      <c r="J57" s="20">
        <f t="shared" ref="J57:J63" si="19">IF(G57&lt;=0,-G57/$D$57,0%)</f>
        <v>1</v>
      </c>
      <c r="K57" s="22">
        <f t="shared" ref="K57:K63" si="20">IF(I57="NA","NA",IF(EXACT(I57,F57),0,(+F57-I57)/F57))</f>
        <v>0</v>
      </c>
      <c r="L57" s="23">
        <v>1135</v>
      </c>
      <c r="M57" s="24"/>
      <c r="N57" s="24"/>
      <c r="O57" s="14"/>
      <c r="P57" s="25"/>
      <c r="Q57" s="25"/>
      <c r="R57" s="14"/>
      <c r="S57" s="26"/>
    </row>
    <row r="58" spans="1:19" x14ac:dyDescent="0.25">
      <c r="A58" s="3"/>
      <c r="B58" s="3"/>
      <c r="C58" s="3"/>
      <c r="D58" s="17">
        <v>2</v>
      </c>
      <c r="E58" s="18" t="str">
        <f>VLOOKUP(D58,'[1]Tabla 15'!$B$15:$E$26,3,FALSE)</f>
        <v>Afiliados y beneficiarios categoria B</v>
      </c>
      <c r="F58" s="19">
        <v>0</v>
      </c>
      <c r="G58" s="19">
        <f t="shared" si="17"/>
        <v>-1</v>
      </c>
      <c r="H58" s="20">
        <f t="shared" si="18"/>
        <v>0</v>
      </c>
      <c r="I58" s="21">
        <v>0</v>
      </c>
      <c r="J58" s="20">
        <f t="shared" si="19"/>
        <v>1</v>
      </c>
      <c r="K58" s="22">
        <f t="shared" si="20"/>
        <v>0</v>
      </c>
      <c r="L58" s="23">
        <v>1563</v>
      </c>
      <c r="M58" s="24"/>
      <c r="N58" s="24"/>
      <c r="O58" s="14"/>
      <c r="P58" s="14"/>
      <c r="Q58" s="14"/>
      <c r="R58" s="14"/>
      <c r="S58" s="26"/>
    </row>
    <row r="59" spans="1:19" x14ac:dyDescent="0.25">
      <c r="A59" s="3"/>
      <c r="B59" s="3"/>
      <c r="C59" s="3"/>
      <c r="D59" s="17">
        <v>3</v>
      </c>
      <c r="E59" s="18" t="str">
        <f>VLOOKUP(D59,'[1]Tabla 15'!$B$15:$E$26,3,FALSE)</f>
        <v>Representa el costo del servicio C</v>
      </c>
      <c r="F59" s="19">
        <f>C57</f>
        <v>44000</v>
      </c>
      <c r="G59" s="19">
        <f t="shared" si="17"/>
        <v>43999</v>
      </c>
      <c r="H59" s="20">
        <f t="shared" si="18"/>
        <v>43999</v>
      </c>
      <c r="I59" s="21">
        <v>65900</v>
      </c>
      <c r="J59" s="20">
        <f t="shared" si="19"/>
        <v>0</v>
      </c>
      <c r="K59" s="22">
        <f t="shared" si="20"/>
        <v>-0.49772727272727274</v>
      </c>
      <c r="L59" s="23">
        <v>35</v>
      </c>
      <c r="M59" s="24"/>
      <c r="N59" s="24"/>
      <c r="O59" s="14"/>
      <c r="P59" s="14"/>
      <c r="Q59" s="14"/>
      <c r="R59" s="27"/>
      <c r="S59" s="26"/>
    </row>
    <row r="60" spans="1:19" x14ac:dyDescent="0.25">
      <c r="A60" s="3"/>
      <c r="B60" s="3"/>
      <c r="C60" s="3"/>
      <c r="D60" s="17">
        <v>4</v>
      </c>
      <c r="E60" s="18" t="str">
        <f>VLOOKUP(D60,'[1]Tabla 15'!$B$15:$E$26,3,FALSE)</f>
        <v>D (No afiliados)</v>
      </c>
      <c r="F60" s="19">
        <f>CEILING(C57*1.25,100)</f>
        <v>55000</v>
      </c>
      <c r="G60" s="19">
        <f t="shared" si="17"/>
        <v>54999</v>
      </c>
      <c r="H60" s="20">
        <f t="shared" si="18"/>
        <v>54999</v>
      </c>
      <c r="I60" s="21">
        <v>82400</v>
      </c>
      <c r="J60" s="20">
        <f t="shared" si="19"/>
        <v>0</v>
      </c>
      <c r="K60" s="22">
        <f t="shared" si="20"/>
        <v>-0.49818181818181817</v>
      </c>
      <c r="L60" s="23">
        <v>100</v>
      </c>
      <c r="M60" s="24"/>
      <c r="N60" s="24"/>
      <c r="O60" s="14"/>
      <c r="P60" s="14"/>
      <c r="Q60" s="14"/>
      <c r="R60" s="27"/>
      <c r="S60" s="26"/>
    </row>
    <row r="61" spans="1:19" x14ac:dyDescent="0.25">
      <c r="A61" s="3"/>
      <c r="B61" s="3"/>
      <c r="C61" s="3"/>
      <c r="D61" s="17">
        <v>5</v>
      </c>
      <c r="E61" s="18" t="str">
        <f>VLOOKUP(D61,'[1]Tabla 15'!$B$15:$E$26,3,FALSE)</f>
        <v>Empresas (Servicios contratados por empresas afiliadas o no afiliadas)</v>
      </c>
      <c r="F61" s="19">
        <f>C57</f>
        <v>44000</v>
      </c>
      <c r="G61" s="19">
        <f t="shared" si="17"/>
        <v>43999</v>
      </c>
      <c r="H61" s="20">
        <f t="shared" si="18"/>
        <v>43999</v>
      </c>
      <c r="I61" s="21">
        <v>65900</v>
      </c>
      <c r="J61" s="20">
        <f t="shared" si="19"/>
        <v>0</v>
      </c>
      <c r="K61" s="22">
        <f t="shared" si="20"/>
        <v>-0.49772727272727274</v>
      </c>
      <c r="L61" s="23">
        <v>20</v>
      </c>
      <c r="M61" s="24"/>
      <c r="N61" s="24"/>
      <c r="O61" s="14"/>
      <c r="P61" s="14"/>
      <c r="Q61" s="14"/>
      <c r="R61" s="27"/>
      <c r="S61" s="26"/>
    </row>
    <row r="62" spans="1:19" x14ac:dyDescent="0.25">
      <c r="A62" s="3"/>
      <c r="B62" s="3"/>
      <c r="C62" s="3"/>
      <c r="D62" s="17">
        <v>6</v>
      </c>
      <c r="E62" s="18" t="str">
        <f>VLOOKUP(D62,'[1]Tabla 15'!$B$15:$E$26,3,FALSE)</f>
        <v>Fondos de Ley (Aplica para reportar la cobertura de los Servicios Sociales a los Fondos de Ley)</v>
      </c>
      <c r="F62" s="19">
        <f>C57</f>
        <v>44000</v>
      </c>
      <c r="G62" s="19">
        <f t="shared" si="17"/>
        <v>43999</v>
      </c>
      <c r="H62" s="20">
        <f t="shared" si="18"/>
        <v>43999</v>
      </c>
      <c r="I62" s="21">
        <v>65900</v>
      </c>
      <c r="J62" s="20">
        <f t="shared" si="19"/>
        <v>0</v>
      </c>
      <c r="K62" s="22">
        <f t="shared" si="20"/>
        <v>-0.49772727272727274</v>
      </c>
      <c r="L62" s="23">
        <v>25</v>
      </c>
      <c r="M62" s="24"/>
      <c r="N62" s="24"/>
      <c r="O62" s="14"/>
      <c r="P62" s="14"/>
      <c r="Q62" s="14"/>
      <c r="R62" s="27"/>
      <c r="S62" s="26"/>
    </row>
    <row r="63" spans="1:19" x14ac:dyDescent="0.25">
      <c r="A63" s="3"/>
      <c r="B63" s="3"/>
      <c r="C63" s="3"/>
      <c r="D63" s="17">
        <v>10</v>
      </c>
      <c r="E63" s="18" t="str">
        <f>VLOOKUP(D63,'[1]Tabla 15'!$B$15:$E$26,3,FALSE)</f>
        <v>Convenios (Esta categoría se utiliza para convenios con entidades, alcaldías, gobernaciones)</v>
      </c>
      <c r="F63" s="19">
        <f>C57</f>
        <v>44000</v>
      </c>
      <c r="G63" s="19">
        <f>+F63-$D$57</f>
        <v>43999</v>
      </c>
      <c r="H63" s="20">
        <f t="shared" si="18"/>
        <v>43999</v>
      </c>
      <c r="I63" s="21" t="s">
        <v>14</v>
      </c>
      <c r="J63" s="20">
        <f t="shared" si="19"/>
        <v>0</v>
      </c>
      <c r="K63" s="22" t="str">
        <f t="shared" si="20"/>
        <v>NA</v>
      </c>
      <c r="L63" s="23">
        <v>0</v>
      </c>
      <c r="M63" s="24"/>
      <c r="N63" s="24"/>
      <c r="O63" s="14"/>
      <c r="P63" s="14"/>
      <c r="Q63" s="14"/>
      <c r="R63" s="27"/>
      <c r="S63" s="26"/>
    </row>
    <row r="64" spans="1:19" x14ac:dyDescent="0.25">
      <c r="A64" s="2" t="s">
        <v>13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9">
        <f>SUM(L57:L63)</f>
        <v>2878</v>
      </c>
      <c r="M64" s="30"/>
      <c r="N64" s="30"/>
      <c r="O64" s="14"/>
      <c r="P64" s="14"/>
      <c r="Q64" s="14"/>
      <c r="R64" s="14"/>
      <c r="S64" s="26"/>
    </row>
    <row r="65" spans="1:19" x14ac:dyDescent="0.25">
      <c r="A65" s="31"/>
      <c r="B65" s="31"/>
      <c r="C65" s="31"/>
      <c r="D65" s="31"/>
      <c r="E65" s="31"/>
      <c r="F65" s="32"/>
      <c r="G65" s="32"/>
      <c r="H65" s="31"/>
      <c r="I65" s="32"/>
      <c r="J65" s="31"/>
      <c r="K65" s="33"/>
      <c r="L65" s="31"/>
      <c r="M65" s="44"/>
      <c r="N65" s="36"/>
      <c r="O65" s="14"/>
      <c r="P65" s="14"/>
      <c r="Q65" s="14"/>
      <c r="R65" s="14"/>
      <c r="S65" s="26"/>
    </row>
    <row r="66" spans="1:19" x14ac:dyDescent="0.25">
      <c r="A66" s="2" t="s">
        <v>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  <c r="O66" s="14"/>
      <c r="P66" s="14"/>
      <c r="Q66" s="14"/>
      <c r="R66" s="14"/>
      <c r="S66" s="26"/>
    </row>
    <row r="67" spans="1:19" ht="60" x14ac:dyDescent="0.25">
      <c r="A67" s="5" t="s">
        <v>2</v>
      </c>
      <c r="B67" s="5" t="s">
        <v>3</v>
      </c>
      <c r="C67" s="5" t="s">
        <v>4</v>
      </c>
      <c r="D67" s="5" t="s">
        <v>5</v>
      </c>
      <c r="E67" s="5"/>
      <c r="F67" s="6" t="s">
        <v>6</v>
      </c>
      <c r="G67" s="6" t="s">
        <v>7</v>
      </c>
      <c r="H67" s="5" t="s">
        <v>8</v>
      </c>
      <c r="I67" s="7" t="s">
        <v>9</v>
      </c>
      <c r="J67" s="5" t="s">
        <v>10</v>
      </c>
      <c r="K67" s="8" t="s">
        <v>11</v>
      </c>
      <c r="L67" s="5" t="s">
        <v>12</v>
      </c>
      <c r="M67" s="9"/>
      <c r="N67" s="9"/>
      <c r="O67" s="14"/>
      <c r="P67" s="14"/>
      <c r="Q67" s="14"/>
      <c r="R67" s="14"/>
      <c r="S67" s="26"/>
    </row>
    <row r="68" spans="1:19" x14ac:dyDescent="0.25">
      <c r="A68" s="15" t="str">
        <f>'[1]Tabla 15'!B7</f>
        <v>Recreación</v>
      </c>
      <c r="B68" s="48" t="str">
        <f>'[1]RESUMEN SERVICIOS'!A8</f>
        <v>OTRAS CANCHAS 
(hora)</v>
      </c>
      <c r="C68" s="16">
        <v>24000</v>
      </c>
      <c r="D68" s="17">
        <v>1</v>
      </c>
      <c r="E68" s="18" t="str">
        <f>VLOOKUP(D68,'[1]Tabla 15'!$B$15:$E$26,3,FALSE)</f>
        <v>Afiliados y beneficiarios categoria A</v>
      </c>
      <c r="F68" s="19">
        <v>0</v>
      </c>
      <c r="G68" s="19">
        <f>+F68-C68</f>
        <v>-24000</v>
      </c>
      <c r="H68" s="20">
        <f>IF(G68&gt;0,G68/C68,0%)</f>
        <v>0</v>
      </c>
      <c r="I68" s="21" t="s">
        <v>14</v>
      </c>
      <c r="J68" s="20">
        <f>IF(G68&lt;=0,-G68/C68,0%)</f>
        <v>1</v>
      </c>
      <c r="K68" s="22" t="str">
        <f t="shared" ref="K68:K73" si="21">IF(I68="NA","NA",IF(EXACT(I68,F68),0,(+F68-I68)/F68))</f>
        <v>NA</v>
      </c>
      <c r="L68" s="23">
        <v>290</v>
      </c>
      <c r="M68" s="24"/>
      <c r="N68" s="24"/>
      <c r="O68" s="14"/>
      <c r="P68" s="25"/>
      <c r="Q68" s="25"/>
      <c r="R68" s="14"/>
      <c r="S68" s="26"/>
    </row>
    <row r="69" spans="1:19" x14ac:dyDescent="0.25">
      <c r="A69" s="3"/>
      <c r="B69" s="49"/>
      <c r="C69" s="3"/>
      <c r="D69" s="17">
        <v>2</v>
      </c>
      <c r="E69" s="18" t="str">
        <f>VLOOKUP(D69,'[1]Tabla 15'!$B$15:$E$26,3,FALSE)</f>
        <v>Afiliados y beneficiarios categoria B</v>
      </c>
      <c r="F69" s="19">
        <v>0</v>
      </c>
      <c r="G69" s="19">
        <f>+F69-C68</f>
        <v>-24000</v>
      </c>
      <c r="H69" s="20">
        <f>IF(G69&gt;0,G69/C68,0%)</f>
        <v>0</v>
      </c>
      <c r="I69" s="21" t="s">
        <v>14</v>
      </c>
      <c r="J69" s="20">
        <f>IF(G69&lt;=0,-G69/C68,0%)</f>
        <v>1</v>
      </c>
      <c r="K69" s="22" t="str">
        <f t="shared" si="21"/>
        <v>NA</v>
      </c>
      <c r="L69" s="23">
        <v>385</v>
      </c>
      <c r="M69" s="24"/>
      <c r="N69" s="24"/>
      <c r="O69" s="14"/>
      <c r="P69" s="14"/>
      <c r="Q69" s="14"/>
      <c r="R69" s="14"/>
      <c r="S69" s="26"/>
    </row>
    <row r="70" spans="1:19" x14ac:dyDescent="0.25">
      <c r="A70" s="3"/>
      <c r="B70" s="49"/>
      <c r="C70" s="3"/>
      <c r="D70" s="17">
        <v>3</v>
      </c>
      <c r="E70" s="18" t="str">
        <f>VLOOKUP(D70,'[1]Tabla 15'!$B$15:$E$26,3,FALSE)</f>
        <v>Representa el costo del servicio C</v>
      </c>
      <c r="F70" s="19">
        <f>C68</f>
        <v>24000</v>
      </c>
      <c r="G70" s="19">
        <f>+F70-C68</f>
        <v>0</v>
      </c>
      <c r="H70" s="20">
        <f>IF(G70&gt;0,G70/C68,0%)</f>
        <v>0</v>
      </c>
      <c r="I70" s="21">
        <v>10600</v>
      </c>
      <c r="J70" s="20">
        <f>IF(G70&lt;=0,-G70/C68,0%)</f>
        <v>0</v>
      </c>
      <c r="K70" s="22">
        <f t="shared" si="21"/>
        <v>0.55833333333333335</v>
      </c>
      <c r="L70" s="23">
        <v>30</v>
      </c>
      <c r="M70" s="24"/>
      <c r="N70" s="24"/>
      <c r="O70" s="14"/>
      <c r="P70" s="14"/>
      <c r="Q70" s="14"/>
      <c r="R70" s="27"/>
      <c r="S70" s="26"/>
    </row>
    <row r="71" spans="1:19" x14ac:dyDescent="0.25">
      <c r="A71" s="3"/>
      <c r="B71" s="49"/>
      <c r="C71" s="3"/>
      <c r="D71" s="17">
        <v>4</v>
      </c>
      <c r="E71" s="18" t="str">
        <f>VLOOKUP(D71,'[1]Tabla 15'!$B$15:$E$26,3,FALSE)</f>
        <v>D (No afiliados)</v>
      </c>
      <c r="F71" s="19">
        <f>CEILING(C68*1.2,100)</f>
        <v>28800</v>
      </c>
      <c r="G71" s="19">
        <f>+F71-C68</f>
        <v>4800</v>
      </c>
      <c r="H71" s="20">
        <f>IF(G71&gt;0,G71/C68,0%)</f>
        <v>0.2</v>
      </c>
      <c r="I71" s="21">
        <v>12800</v>
      </c>
      <c r="J71" s="20">
        <f>IF(G71&lt;=0,-G71/C68,0%)</f>
        <v>0</v>
      </c>
      <c r="K71" s="22">
        <f t="shared" si="21"/>
        <v>0.55555555555555558</v>
      </c>
      <c r="L71" s="23">
        <v>25</v>
      </c>
      <c r="M71" s="24"/>
      <c r="N71" s="24"/>
      <c r="O71" s="14"/>
      <c r="P71" s="14"/>
      <c r="Q71" s="14"/>
      <c r="R71" s="27"/>
      <c r="S71" s="26"/>
    </row>
    <row r="72" spans="1:19" x14ac:dyDescent="0.25">
      <c r="A72" s="3"/>
      <c r="B72" s="49"/>
      <c r="C72" s="3"/>
      <c r="D72" s="17">
        <v>5</v>
      </c>
      <c r="E72" s="18" t="str">
        <f>VLOOKUP(D72,'[1]Tabla 15'!$B$15:$E$26,3,FALSE)</f>
        <v>Empresas (Servicios contratados por empresas afiliadas o no afiliadas)</v>
      </c>
      <c r="F72" s="19">
        <f>CEILING(C68*1.2,100)</f>
        <v>28800</v>
      </c>
      <c r="G72" s="19">
        <f>+F72-C68</f>
        <v>4800</v>
      </c>
      <c r="H72" s="20">
        <f>IF(G72&gt;0,G72/C68,0%)</f>
        <v>0.2</v>
      </c>
      <c r="I72" s="21">
        <v>12800</v>
      </c>
      <c r="J72" s="20">
        <f>IF(G72&lt;=0,-G72/C68,0%)</f>
        <v>0</v>
      </c>
      <c r="K72" s="22">
        <f t="shared" si="21"/>
        <v>0.55555555555555558</v>
      </c>
      <c r="L72" s="23">
        <v>30</v>
      </c>
      <c r="M72" s="24"/>
      <c r="N72" s="24"/>
      <c r="O72" s="14"/>
      <c r="P72" s="14"/>
      <c r="Q72" s="14"/>
      <c r="R72" s="27"/>
      <c r="S72" s="26"/>
    </row>
    <row r="73" spans="1:19" x14ac:dyDescent="0.25">
      <c r="A73" s="3"/>
      <c r="B73" s="49"/>
      <c r="C73" s="3"/>
      <c r="D73" s="17">
        <v>10</v>
      </c>
      <c r="E73" s="18" t="str">
        <f>VLOOKUP(D73,'[1]Tabla 15'!$B$15:$E$26,3,FALSE)</f>
        <v>Convenios (Esta categoría se utiliza para convenios con entidades, alcaldías, gobernaciones)</v>
      </c>
      <c r="F73" s="19">
        <f>CEILING(C68*1.2,100)</f>
        <v>28800</v>
      </c>
      <c r="G73" s="19">
        <f>+F73-C68</f>
        <v>4800</v>
      </c>
      <c r="H73" s="20">
        <f>IF(G73&gt;0,G73/C68,0%)</f>
        <v>0.2</v>
      </c>
      <c r="I73" s="21">
        <v>12800</v>
      </c>
      <c r="J73" s="20">
        <f>IF(G73&lt;=0,-G73/C68,0%)</f>
        <v>0</v>
      </c>
      <c r="K73" s="22">
        <f t="shared" si="21"/>
        <v>0.55555555555555558</v>
      </c>
      <c r="L73" s="23">
        <v>40</v>
      </c>
      <c r="M73" s="24"/>
      <c r="N73" s="24"/>
      <c r="O73" s="14"/>
      <c r="P73" s="14"/>
      <c r="Q73" s="14"/>
      <c r="R73" s="27"/>
      <c r="S73" s="26"/>
    </row>
    <row r="74" spans="1:19" x14ac:dyDescent="0.2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9">
        <f>SUM(L68:L73)</f>
        <v>800</v>
      </c>
      <c r="M74" s="30"/>
      <c r="N74" s="30"/>
      <c r="O74" s="14"/>
      <c r="P74" s="14"/>
      <c r="Q74" s="14"/>
      <c r="R74" s="14"/>
      <c r="S74" s="26"/>
    </row>
    <row r="75" spans="1:19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31"/>
      <c r="M75" s="44"/>
      <c r="N75" s="36"/>
      <c r="O75" s="14"/>
      <c r="P75" s="14"/>
      <c r="Q75" s="14"/>
      <c r="R75" s="14"/>
      <c r="S75" s="26"/>
    </row>
    <row r="76" spans="1:19" x14ac:dyDescent="0.25">
      <c r="A76" s="2" t="s">
        <v>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  <c r="O76" s="14"/>
      <c r="P76" s="14"/>
      <c r="Q76" s="14"/>
      <c r="R76" s="14"/>
      <c r="S76" s="26"/>
    </row>
    <row r="77" spans="1:19" ht="60" x14ac:dyDescent="0.25">
      <c r="A77" s="5" t="s">
        <v>2</v>
      </c>
      <c r="B77" s="5" t="s">
        <v>3</v>
      </c>
      <c r="C77" s="5" t="s">
        <v>4</v>
      </c>
      <c r="D77" s="5" t="s">
        <v>5</v>
      </c>
      <c r="E77" s="5"/>
      <c r="F77" s="6" t="s">
        <v>6</v>
      </c>
      <c r="G77" s="6" t="s">
        <v>7</v>
      </c>
      <c r="H77" s="5" t="s">
        <v>8</v>
      </c>
      <c r="I77" s="7" t="s">
        <v>9</v>
      </c>
      <c r="J77" s="5" t="s">
        <v>10</v>
      </c>
      <c r="K77" s="8" t="s">
        <v>11</v>
      </c>
      <c r="L77" s="5" t="s">
        <v>12</v>
      </c>
      <c r="M77" s="9"/>
      <c r="N77" s="9"/>
      <c r="O77" s="14"/>
      <c r="P77" s="14"/>
      <c r="Q77" s="14"/>
      <c r="R77" s="14"/>
      <c r="S77" s="26"/>
    </row>
    <row r="78" spans="1:19" x14ac:dyDescent="0.25">
      <c r="A78" s="15" t="str">
        <f>'[1]Tabla 15'!B7</f>
        <v>Recreación</v>
      </c>
      <c r="B78" s="15" t="str">
        <f>'[1]RESUMEN SERVICIOS'!A9</f>
        <v>SINTÉTICA (hora)</v>
      </c>
      <c r="C78" s="16">
        <f>+'[2]asiganción de ppto'!T46</f>
        <v>64400</v>
      </c>
      <c r="D78" s="17">
        <v>1</v>
      </c>
      <c r="E78" s="18" t="str">
        <f>VLOOKUP(D78,'[1]Tabla 15'!$B$15:$E$26,3,FALSE)</f>
        <v>Afiliados y beneficiarios categoria A</v>
      </c>
      <c r="F78" s="19">
        <v>0</v>
      </c>
      <c r="G78" s="19">
        <f>+F78-C78</f>
        <v>-64400</v>
      </c>
      <c r="H78" s="20">
        <f>IF(G78&gt;0,G78/C78,0%)</f>
        <v>0</v>
      </c>
      <c r="I78" s="21">
        <v>0</v>
      </c>
      <c r="J78" s="20">
        <f>IF(G78&lt;=0,-G78/C78,0%)</f>
        <v>1</v>
      </c>
      <c r="K78" s="22">
        <f t="shared" ref="K78:K83" si="22">IF(I78="NA","NA",IF(EXACT(I78,F78),0,(+F78-I78)/F78))</f>
        <v>0</v>
      </c>
      <c r="L78" s="23">
        <v>1220</v>
      </c>
      <c r="M78" s="24"/>
      <c r="N78" s="24"/>
      <c r="O78" s="14"/>
      <c r="P78" s="25"/>
      <c r="Q78" s="25"/>
      <c r="R78" s="14"/>
      <c r="S78" s="26"/>
    </row>
    <row r="79" spans="1:19" x14ac:dyDescent="0.25">
      <c r="A79" s="3"/>
      <c r="B79" s="3"/>
      <c r="C79" s="3"/>
      <c r="D79" s="17">
        <v>2</v>
      </c>
      <c r="E79" s="18" t="str">
        <f>VLOOKUP(D79,'[1]Tabla 15'!$B$15:$E$26,3,FALSE)</f>
        <v>Afiliados y beneficiarios categoria B</v>
      </c>
      <c r="F79" s="19">
        <v>0</v>
      </c>
      <c r="G79" s="19">
        <f>+F79-C78</f>
        <v>-64400</v>
      </c>
      <c r="H79" s="20">
        <f>IF(G79&gt;0,G79/C78,0%)</f>
        <v>0</v>
      </c>
      <c r="I79" s="21">
        <v>0</v>
      </c>
      <c r="J79" s="20">
        <f>IF(G79&lt;=0,-G79/C78,0%)</f>
        <v>1</v>
      </c>
      <c r="K79" s="22">
        <f t="shared" si="22"/>
        <v>0</v>
      </c>
      <c r="L79" s="23">
        <v>1613</v>
      </c>
      <c r="M79" s="24"/>
      <c r="N79" s="24"/>
      <c r="O79" s="14"/>
      <c r="P79" s="14"/>
      <c r="Q79" s="14"/>
      <c r="R79" s="14"/>
      <c r="S79" s="26"/>
    </row>
    <row r="80" spans="1:19" x14ac:dyDescent="0.25">
      <c r="A80" s="3"/>
      <c r="B80" s="3"/>
      <c r="C80" s="3"/>
      <c r="D80" s="17">
        <v>3</v>
      </c>
      <c r="E80" s="18" t="str">
        <f>VLOOKUP(D80,'[1]Tabla 15'!$B$15:$E$26,3,FALSE)</f>
        <v>Representa el costo del servicio C</v>
      </c>
      <c r="F80" s="19">
        <f>C78</f>
        <v>64400</v>
      </c>
      <c r="G80" s="19">
        <f>+F80-C78</f>
        <v>0</v>
      </c>
      <c r="H80" s="20">
        <f>IF(G80&gt;0,G80/C78,0%)</f>
        <v>0</v>
      </c>
      <c r="I80" s="21">
        <v>58600</v>
      </c>
      <c r="J80" s="20">
        <f>IF(G80&lt;=0,-G80/C78,0%)</f>
        <v>0</v>
      </c>
      <c r="K80" s="22">
        <f t="shared" si="22"/>
        <v>9.0062111801242239E-2</v>
      </c>
      <c r="L80" s="23">
        <v>13</v>
      </c>
      <c r="M80" s="24"/>
      <c r="N80" s="24"/>
      <c r="O80" s="14"/>
      <c r="P80" s="14"/>
      <c r="Q80" s="14"/>
      <c r="R80" s="27"/>
      <c r="S80" s="51"/>
    </row>
    <row r="81" spans="1:19" x14ac:dyDescent="0.25">
      <c r="A81" s="3"/>
      <c r="B81" s="3"/>
      <c r="C81" s="3"/>
      <c r="D81" s="17">
        <v>4</v>
      </c>
      <c r="E81" s="18" t="str">
        <f>VLOOKUP(D81,'[1]Tabla 15'!$B$15:$E$26,3,FALSE)</f>
        <v>D (No afiliados)</v>
      </c>
      <c r="F81" s="19">
        <f>CEILING(C78*1.2,100)</f>
        <v>77300</v>
      </c>
      <c r="G81" s="19">
        <f>+F81-C78</f>
        <v>12900</v>
      </c>
      <c r="H81" s="20">
        <f>IF(G81&gt;0,G81/C78,0%)</f>
        <v>0.20031055900621117</v>
      </c>
      <c r="I81" s="21">
        <v>70400</v>
      </c>
      <c r="J81" s="20">
        <f>IF(G81&lt;=0,-G81/C78,0%)</f>
        <v>0</v>
      </c>
      <c r="K81" s="22">
        <f t="shared" si="22"/>
        <v>8.9262613195342816E-2</v>
      </c>
      <c r="L81" s="23">
        <v>20</v>
      </c>
      <c r="M81" s="24"/>
      <c r="N81" s="24"/>
      <c r="O81" s="14"/>
      <c r="P81" s="14"/>
      <c r="Q81" s="14"/>
      <c r="R81" s="27"/>
      <c r="S81" s="51"/>
    </row>
    <row r="82" spans="1:19" x14ac:dyDescent="0.25">
      <c r="A82" s="3"/>
      <c r="B82" s="3"/>
      <c r="C82" s="3"/>
      <c r="D82" s="17">
        <v>5</v>
      </c>
      <c r="E82" s="18" t="str">
        <f>VLOOKUP(D82,'[1]Tabla 15'!$B$15:$E$26,3,FALSE)</f>
        <v>Empresas (Servicios contratados por empresas afiliadas o no afiliadas)</v>
      </c>
      <c r="F82" s="19">
        <f>CEILING(C78*1.1,100)</f>
        <v>70900</v>
      </c>
      <c r="G82" s="19">
        <f>+F82-C78</f>
        <v>6500</v>
      </c>
      <c r="H82" s="20">
        <f>IF(G82&gt;0,G82/C78,0%)</f>
        <v>0.10093167701863354</v>
      </c>
      <c r="I82" s="21">
        <v>64500</v>
      </c>
      <c r="J82" s="20">
        <f>IF(G82&lt;=0,-G82/C78,0%)</f>
        <v>0</v>
      </c>
      <c r="K82" s="22">
        <f t="shared" si="22"/>
        <v>9.0267983074753172E-2</v>
      </c>
      <c r="L82" s="23">
        <v>10</v>
      </c>
      <c r="M82" s="24"/>
      <c r="N82" s="24"/>
      <c r="O82" s="14"/>
      <c r="P82" s="14"/>
      <c r="Q82" s="14"/>
      <c r="R82" s="27"/>
      <c r="S82" s="51"/>
    </row>
    <row r="83" spans="1:19" x14ac:dyDescent="0.25">
      <c r="A83" s="3"/>
      <c r="B83" s="3"/>
      <c r="C83" s="3"/>
      <c r="D83" s="17">
        <v>10</v>
      </c>
      <c r="E83" s="18" t="str">
        <f>VLOOKUP(D83,'[1]Tabla 15'!$B$15:$E$26,3,FALSE)</f>
        <v>Convenios (Esta categoría se utiliza para convenios con entidades, alcaldías, gobernaciones)</v>
      </c>
      <c r="F83" s="19">
        <f>CEILING(C78*1.1,100)</f>
        <v>70900</v>
      </c>
      <c r="G83" s="19">
        <f>+F83-C78</f>
        <v>6500</v>
      </c>
      <c r="H83" s="20">
        <f>IF(G83&gt;0,G83/C78,0%)</f>
        <v>0.10093167701863354</v>
      </c>
      <c r="I83" s="21">
        <v>64500</v>
      </c>
      <c r="J83" s="20">
        <f>IF(G83&lt;=0,-G83/C78,0%)</f>
        <v>0</v>
      </c>
      <c r="K83" s="22">
        <f t="shared" si="22"/>
        <v>9.0267983074753172E-2</v>
      </c>
      <c r="L83" s="23"/>
      <c r="M83" s="24"/>
      <c r="N83" s="24"/>
      <c r="O83" s="14"/>
      <c r="P83" s="14"/>
      <c r="Q83" s="14"/>
      <c r="R83" s="27"/>
      <c r="S83" s="51"/>
    </row>
    <row r="84" spans="1:19" x14ac:dyDescent="0.2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9">
        <f>SUM(L78:L83)</f>
        <v>2876</v>
      </c>
      <c r="M84" s="30"/>
      <c r="N84" s="30"/>
      <c r="O84" s="14"/>
      <c r="P84" s="14"/>
      <c r="Q84" s="14"/>
      <c r="R84" s="14"/>
      <c r="S84" s="26"/>
    </row>
    <row r="85" spans="1:19" x14ac:dyDescent="0.25">
      <c r="A85" s="31"/>
      <c r="B85" s="31"/>
      <c r="C85" s="31"/>
      <c r="D85" s="31"/>
      <c r="E85" s="31"/>
      <c r="F85" s="32"/>
      <c r="G85" s="32"/>
      <c r="H85" s="31"/>
      <c r="I85" s="32"/>
      <c r="J85" s="31"/>
      <c r="K85" s="33"/>
      <c r="L85" s="41"/>
      <c r="M85" s="42"/>
      <c r="N85" s="43"/>
      <c r="O85" s="14"/>
      <c r="P85" s="14"/>
      <c r="Q85" s="14"/>
      <c r="R85" s="14"/>
      <c r="S85" s="26"/>
    </row>
    <row r="86" spans="1:19" x14ac:dyDescent="0.25">
      <c r="A86" s="2" t="s">
        <v>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  <c r="O86" s="14"/>
      <c r="P86" s="14"/>
      <c r="Q86" s="14"/>
      <c r="R86" s="14"/>
      <c r="S86" s="26"/>
    </row>
    <row r="87" spans="1:19" ht="60" x14ac:dyDescent="0.25">
      <c r="A87" s="5" t="s">
        <v>2</v>
      </c>
      <c r="B87" s="5" t="s">
        <v>3</v>
      </c>
      <c r="C87" s="5" t="s">
        <v>4</v>
      </c>
      <c r="D87" s="5" t="s">
        <v>5</v>
      </c>
      <c r="E87" s="5"/>
      <c r="F87" s="6" t="s">
        <v>6</v>
      </c>
      <c r="G87" s="6" t="s">
        <v>7</v>
      </c>
      <c r="H87" s="5" t="s">
        <v>8</v>
      </c>
      <c r="I87" s="7" t="s">
        <v>9</v>
      </c>
      <c r="J87" s="5" t="s">
        <v>10</v>
      </c>
      <c r="K87" s="8" t="s">
        <v>11</v>
      </c>
      <c r="L87" s="5" t="s">
        <v>12</v>
      </c>
      <c r="M87" s="9"/>
      <c r="N87" s="9"/>
      <c r="O87" s="14"/>
      <c r="P87" s="14"/>
      <c r="Q87" s="14"/>
      <c r="R87" s="14"/>
      <c r="S87" s="26"/>
    </row>
    <row r="88" spans="1:19" x14ac:dyDescent="0.25">
      <c r="A88" s="15" t="str">
        <f>'[1]Tabla 15'!B2</f>
        <v>Recreación</v>
      </c>
      <c r="B88" s="48" t="str">
        <f>'[1]RESUMEN SERVICIOS'!A10</f>
        <v>CURSOS DEPORTIVOS</v>
      </c>
      <c r="C88" s="16">
        <f>+'[2]asiganción de ppto'!AH46</f>
        <v>146000</v>
      </c>
      <c r="D88" s="17">
        <v>1</v>
      </c>
      <c r="E88" s="18" t="str">
        <f>VLOOKUP(D88,'[1]Tabla 15'!$B$15:$E$26,3,FALSE)</f>
        <v>Afiliados y beneficiarios categoria A</v>
      </c>
      <c r="F88" s="19">
        <v>0</v>
      </c>
      <c r="G88" s="19">
        <f>+F88-C88</f>
        <v>-146000</v>
      </c>
      <c r="H88" s="20">
        <f>IF(G88&gt;0,G88/C88,0%)</f>
        <v>0</v>
      </c>
      <c r="I88" s="21">
        <v>0</v>
      </c>
      <c r="J88" s="20">
        <f>IF(G88&lt;=0,-G88/C88,0%)</f>
        <v>1</v>
      </c>
      <c r="K88" s="22">
        <f>IF(I88="NA","NA",IF(EXACT(I88,F88),0,(+F88-I88)/F88))</f>
        <v>0</v>
      </c>
      <c r="L88" s="23">
        <v>85</v>
      </c>
      <c r="M88" s="24"/>
      <c r="N88" s="24"/>
      <c r="O88" s="14"/>
      <c r="P88" s="25"/>
      <c r="Q88" s="25"/>
      <c r="R88" s="14"/>
      <c r="S88" s="26"/>
    </row>
    <row r="89" spans="1:19" x14ac:dyDescent="0.25">
      <c r="A89" s="3"/>
      <c r="B89" s="49"/>
      <c r="C89" s="3"/>
      <c r="D89" s="17">
        <v>2</v>
      </c>
      <c r="E89" s="18" t="str">
        <f>VLOOKUP(D89,'[1]Tabla 15'!$B$15:$E$26,3,FALSE)</f>
        <v>Afiliados y beneficiarios categoria B</v>
      </c>
      <c r="F89" s="19">
        <v>0</v>
      </c>
      <c r="G89" s="19">
        <f>+F89-C88</f>
        <v>-146000</v>
      </c>
      <c r="H89" s="20">
        <f>IF(G89&gt;0,G89/C88,0%)</f>
        <v>0</v>
      </c>
      <c r="I89" s="21">
        <v>0</v>
      </c>
      <c r="J89" s="20">
        <f>IF(G89&lt;=0,-G89/C88,0%)</f>
        <v>1</v>
      </c>
      <c r="K89" s="22">
        <f>IF(I89="NA","NA",IF(EXACT(I89,F89),0,(+F89-I89)/F89))</f>
        <v>0</v>
      </c>
      <c r="L89" s="23">
        <v>95</v>
      </c>
      <c r="M89" s="24"/>
      <c r="N89" s="24"/>
      <c r="O89" s="14"/>
      <c r="P89" s="14"/>
      <c r="Q89" s="14"/>
      <c r="R89" s="14"/>
      <c r="S89" s="26"/>
    </row>
    <row r="90" spans="1:19" x14ac:dyDescent="0.25">
      <c r="A90" s="3"/>
      <c r="B90" s="49"/>
      <c r="C90" s="3"/>
      <c r="D90" s="17">
        <v>3</v>
      </c>
      <c r="E90" s="18" t="str">
        <f>VLOOKUP(D90,'[1]Tabla 15'!$B$15:$E$26,3,FALSE)</f>
        <v>Representa el costo del servicio C</v>
      </c>
      <c r="F90" s="19">
        <f>C88</f>
        <v>146000</v>
      </c>
      <c r="G90" s="19">
        <f>+F90-C88</f>
        <v>0</v>
      </c>
      <c r="H90" s="20">
        <f>IF(G90&gt;0,G90/C88,0%)</f>
        <v>0</v>
      </c>
      <c r="I90" s="52">
        <v>140600</v>
      </c>
      <c r="J90" s="20">
        <f>IF(G90&lt;=0,-G90/C88,0%)</f>
        <v>0</v>
      </c>
      <c r="K90" s="22">
        <f>IF(I90="NA","NA",IF(EXACT(I90,F90),0,(+F90-I90)/F90))</f>
        <v>3.6986301369863014E-2</v>
      </c>
      <c r="L90" s="23">
        <v>5</v>
      </c>
      <c r="M90" s="24"/>
      <c r="N90" s="24"/>
      <c r="O90" s="14"/>
      <c r="P90" s="14"/>
      <c r="Q90" s="14"/>
      <c r="R90" s="25"/>
      <c r="S90" s="51"/>
    </row>
    <row r="91" spans="1:19" x14ac:dyDescent="0.25">
      <c r="A91" s="3"/>
      <c r="B91" s="49"/>
      <c r="C91" s="3"/>
      <c r="D91" s="17">
        <v>4</v>
      </c>
      <c r="E91" s="18" t="str">
        <f>VLOOKUP(D91,'[1]Tabla 15'!$B$15:$E$26,3,FALSE)</f>
        <v>D (No afiliados)</v>
      </c>
      <c r="F91" s="19">
        <f>CEILING(C88*1.25,100)</f>
        <v>182500</v>
      </c>
      <c r="G91" s="19">
        <f>+F91-C88</f>
        <v>36500</v>
      </c>
      <c r="H91" s="20">
        <f>IF(G91&gt;0,G91/C88,0%)</f>
        <v>0.25</v>
      </c>
      <c r="I91" s="53">
        <v>175800</v>
      </c>
      <c r="J91" s="20">
        <f>IF(G91&lt;=0,-G91/C88,0%)</f>
        <v>0</v>
      </c>
      <c r="K91" s="22">
        <f>IF(I91="NA","NA",IF(EXACT(I91,F91),0,(+F91-I91)/F91))</f>
        <v>3.6712328767123291E-2</v>
      </c>
      <c r="L91" s="23">
        <v>5</v>
      </c>
      <c r="M91" s="24"/>
      <c r="N91" s="24"/>
      <c r="O91" s="14"/>
      <c r="P91" s="14"/>
      <c r="Q91" s="14"/>
      <c r="R91" s="25"/>
      <c r="S91" s="51"/>
    </row>
    <row r="92" spans="1:19" x14ac:dyDescent="0.25">
      <c r="A92" s="2" t="s">
        <v>13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9">
        <f>SUM(L88:L91)</f>
        <v>190</v>
      </c>
      <c r="M92" s="30"/>
      <c r="N92" s="30"/>
      <c r="O92" s="14"/>
      <c r="P92" s="14"/>
      <c r="Q92" s="14"/>
      <c r="R92" s="25"/>
      <c r="S92" s="26"/>
    </row>
    <row r="93" spans="1:19" x14ac:dyDescent="0.25">
      <c r="A93" s="31"/>
      <c r="B93" s="31"/>
      <c r="C93" s="31"/>
      <c r="D93" s="31"/>
      <c r="E93" s="31"/>
      <c r="F93" s="32"/>
      <c r="G93" s="32"/>
      <c r="H93" s="31"/>
      <c r="I93" s="32"/>
      <c r="J93" s="31"/>
      <c r="K93" s="33"/>
      <c r="L93" s="31"/>
      <c r="M93" s="44"/>
      <c r="N93" s="36"/>
      <c r="O93" s="14"/>
      <c r="P93" s="14"/>
      <c r="Q93" s="14"/>
      <c r="R93" s="14"/>
      <c r="S93" s="26"/>
    </row>
    <row r="94" spans="1:19" x14ac:dyDescent="0.25">
      <c r="A94" s="2" t="s">
        <v>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  <c r="O94" s="14"/>
      <c r="P94" s="14"/>
      <c r="Q94" s="14"/>
      <c r="R94" s="14"/>
      <c r="S94" s="26"/>
    </row>
    <row r="95" spans="1:19" ht="60" x14ac:dyDescent="0.25">
      <c r="A95" s="5" t="s">
        <v>2</v>
      </c>
      <c r="B95" s="5" t="s">
        <v>3</v>
      </c>
      <c r="C95" s="5" t="s">
        <v>4</v>
      </c>
      <c r="D95" s="5" t="s">
        <v>5</v>
      </c>
      <c r="E95" s="5"/>
      <c r="F95" s="6" t="s">
        <v>6</v>
      </c>
      <c r="G95" s="6" t="s">
        <v>7</v>
      </c>
      <c r="H95" s="5" t="s">
        <v>8</v>
      </c>
      <c r="I95" s="7" t="s">
        <v>9</v>
      </c>
      <c r="J95" s="5" t="s">
        <v>10</v>
      </c>
      <c r="K95" s="8" t="s">
        <v>11</v>
      </c>
      <c r="L95" s="5" t="s">
        <v>12</v>
      </c>
      <c r="M95" s="9"/>
      <c r="N95" s="9"/>
      <c r="O95" s="14"/>
      <c r="P95" s="14"/>
      <c r="Q95" s="14"/>
      <c r="R95" s="14"/>
      <c r="S95" s="26"/>
    </row>
    <row r="96" spans="1:19" x14ac:dyDescent="0.25">
      <c r="A96" s="15" t="str">
        <f>'[1]Tabla 15'!B3</f>
        <v>Recreación</v>
      </c>
      <c r="B96" s="15" t="str">
        <f>'[1]RESUMEN SERVICIOS'!A11</f>
        <v>VACACIONES RECREATIVAS</v>
      </c>
      <c r="C96" s="16">
        <f>+'[2]asiganción de ppto'!X46</f>
        <v>275000</v>
      </c>
      <c r="D96" s="17">
        <v>1</v>
      </c>
      <c r="E96" s="18" t="str">
        <f>VLOOKUP(D96,'[1]Tabla 15'!$B$15:$E$26,3,FALSE)</f>
        <v>Afiliados y beneficiarios categoria A</v>
      </c>
      <c r="F96" s="19">
        <f>FLOOR(C96*10%,100)</f>
        <v>27500</v>
      </c>
      <c r="G96" s="19">
        <f>+F96-C96</f>
        <v>-247500</v>
      </c>
      <c r="H96" s="20">
        <f>IF(G96&gt;0,G96/C96,0%)</f>
        <v>0</v>
      </c>
      <c r="I96" s="21">
        <v>26300</v>
      </c>
      <c r="J96" s="20">
        <f>IF(G96&lt;=0,-G96/C96,0%)</f>
        <v>0.9</v>
      </c>
      <c r="K96" s="22">
        <f>IF(I96="NA","NA",IF(EXACT(I96,F96),0,(+F96-I96)/F96))</f>
        <v>4.363636363636364E-2</v>
      </c>
      <c r="L96" s="23">
        <v>98</v>
      </c>
      <c r="M96" s="24"/>
      <c r="N96" s="24"/>
      <c r="O96" s="27"/>
      <c r="P96" s="27"/>
      <c r="Q96" s="54"/>
      <c r="R96" s="14"/>
      <c r="S96" s="26"/>
    </row>
    <row r="97" spans="1:19" x14ac:dyDescent="0.25">
      <c r="A97" s="3"/>
      <c r="B97" s="3"/>
      <c r="C97" s="3"/>
      <c r="D97" s="17">
        <v>2</v>
      </c>
      <c r="E97" s="18" t="str">
        <f>VLOOKUP(D97,'[1]Tabla 15'!$B$15:$E$26,3,FALSE)</f>
        <v>Afiliados y beneficiarios categoria B</v>
      </c>
      <c r="F97" s="19">
        <f>FLOOR(C96*12%,100)</f>
        <v>33000</v>
      </c>
      <c r="G97" s="19">
        <f>+F97-C96</f>
        <v>-242000</v>
      </c>
      <c r="H97" s="20">
        <f>IF(G97&gt;0,G97/C96,0%)</f>
        <v>0</v>
      </c>
      <c r="I97" s="21">
        <v>31600</v>
      </c>
      <c r="J97" s="20">
        <f>IF(G97&lt;=0,-G97/C96,0%)</f>
        <v>0.88</v>
      </c>
      <c r="K97" s="22">
        <f>IF(I97="NA","NA",IF(EXACT(I97,F97),0,(+F97-I97)/F97))</f>
        <v>4.2424242424242427E-2</v>
      </c>
      <c r="L97" s="23">
        <v>100</v>
      </c>
      <c r="M97" s="24"/>
      <c r="N97" s="24"/>
      <c r="O97" s="14"/>
      <c r="P97" s="14"/>
      <c r="Q97" s="14"/>
      <c r="R97" s="14"/>
      <c r="S97" s="26"/>
    </row>
    <row r="98" spans="1:19" x14ac:dyDescent="0.25">
      <c r="A98" s="3"/>
      <c r="B98" s="3"/>
      <c r="C98" s="3"/>
      <c r="D98" s="17">
        <v>3</v>
      </c>
      <c r="E98" s="18" t="str">
        <f>VLOOKUP(D98,'[1]Tabla 15'!$B$15:$E$26,3,FALSE)</f>
        <v>Representa el costo del servicio C</v>
      </c>
      <c r="F98" s="19">
        <f>C96</f>
        <v>275000</v>
      </c>
      <c r="G98" s="19">
        <f>+F98-C96</f>
        <v>0</v>
      </c>
      <c r="H98" s="20">
        <f>IF(G98&gt;0,G98/C96,0%)</f>
        <v>0</v>
      </c>
      <c r="I98" s="21">
        <v>263500</v>
      </c>
      <c r="J98" s="20">
        <f>IF(G98&lt;=0,-G98/C96,0%)</f>
        <v>0</v>
      </c>
      <c r="K98" s="22">
        <f>IF(I98="NA","NA",IF(EXACT(I98,F98),0,(+F98-I98)/F98))</f>
        <v>4.1818181818181817E-2</v>
      </c>
      <c r="L98" s="23">
        <v>1</v>
      </c>
      <c r="M98" s="24"/>
      <c r="N98" s="24"/>
      <c r="O98" s="14"/>
      <c r="P98" s="14"/>
      <c r="Q98" s="14"/>
      <c r="R98" s="27"/>
      <c r="S98" s="26"/>
    </row>
    <row r="99" spans="1:19" x14ac:dyDescent="0.25">
      <c r="A99" s="3"/>
      <c r="B99" s="3"/>
      <c r="C99" s="3"/>
      <c r="D99" s="17">
        <v>4</v>
      </c>
      <c r="E99" s="18" t="str">
        <f>VLOOKUP(D99,'[1]Tabla 15'!$B$15:$E$26,3,FALSE)</f>
        <v>D (No afiliados)</v>
      </c>
      <c r="F99" s="19">
        <f>CEILING(C96*1.25,100)</f>
        <v>343800</v>
      </c>
      <c r="G99" s="19">
        <f>+F99-C96</f>
        <v>68800</v>
      </c>
      <c r="H99" s="20">
        <f>IF(G99&gt;0,G99/C96,0%)</f>
        <v>0.25018181818181817</v>
      </c>
      <c r="I99" s="21">
        <v>329400</v>
      </c>
      <c r="J99" s="20">
        <f>IF(G99&lt;=0,-G99/C96,0%)</f>
        <v>0</v>
      </c>
      <c r="K99" s="22">
        <f>IF(I99="NA","NA",IF(EXACT(I99,F99),0,(+F99-I99)/F99))</f>
        <v>4.1884816753926704E-2</v>
      </c>
      <c r="L99" s="23">
        <v>1</v>
      </c>
      <c r="M99" s="24"/>
      <c r="N99" s="24"/>
      <c r="O99" s="14"/>
      <c r="P99" s="14"/>
      <c r="Q99" s="14"/>
      <c r="R99" s="27"/>
      <c r="S99" s="26"/>
    </row>
    <row r="100" spans="1:19" x14ac:dyDescent="0.25">
      <c r="A100" s="2" t="s">
        <v>13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9">
        <f>SUM(L96:L99)</f>
        <v>200</v>
      </c>
      <c r="M100" s="30"/>
      <c r="N100" s="30"/>
      <c r="O100" s="14"/>
      <c r="P100" s="14"/>
      <c r="Q100" s="14"/>
      <c r="R100" s="14"/>
      <c r="S100" s="26"/>
    </row>
    <row r="101" spans="1:19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6"/>
      <c r="O101" s="14"/>
      <c r="P101" s="14"/>
      <c r="Q101" s="14"/>
      <c r="R101" s="14"/>
      <c r="S101" s="26"/>
    </row>
    <row r="102" spans="1:19" x14ac:dyDescent="0.2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4"/>
      <c r="O102" s="14"/>
      <c r="P102" s="14"/>
      <c r="Q102" s="14"/>
      <c r="R102" s="14"/>
      <c r="S102" s="26"/>
    </row>
    <row r="103" spans="1:19" ht="60" x14ac:dyDescent="0.25">
      <c r="A103" s="5" t="s">
        <v>2</v>
      </c>
      <c r="B103" s="5" t="s">
        <v>3</v>
      </c>
      <c r="C103" s="5" t="s">
        <v>4</v>
      </c>
      <c r="D103" s="5" t="s">
        <v>5</v>
      </c>
      <c r="E103" s="5"/>
      <c r="F103" s="6" t="s">
        <v>6</v>
      </c>
      <c r="G103" s="6" t="s">
        <v>7</v>
      </c>
      <c r="H103" s="5" t="s">
        <v>8</v>
      </c>
      <c r="I103" s="7" t="s">
        <v>9</v>
      </c>
      <c r="J103" s="5" t="s">
        <v>10</v>
      </c>
      <c r="K103" s="8" t="s">
        <v>11</v>
      </c>
      <c r="L103" s="5" t="s">
        <v>12</v>
      </c>
      <c r="M103" s="9"/>
      <c r="N103" s="9"/>
      <c r="O103" s="14"/>
      <c r="P103" s="14"/>
      <c r="Q103" s="14"/>
      <c r="R103" s="14"/>
      <c r="S103" s="26"/>
    </row>
    <row r="104" spans="1:19" x14ac:dyDescent="0.25">
      <c r="A104" s="15" t="str">
        <f>'[1]Tabla 15'!B8</f>
        <v>Recreación</v>
      </c>
      <c r="B104" s="15" t="s">
        <v>15</v>
      </c>
      <c r="C104" s="16">
        <f>+'[2]asiganción de ppto'!AB46</f>
        <v>263000</v>
      </c>
      <c r="D104" s="17">
        <v>1</v>
      </c>
      <c r="E104" s="18" t="str">
        <f>VLOOKUP(D104,'[1]Tabla 15'!$B$15:$E$26,3,FALSE)</f>
        <v>Afiliados y beneficiarios categoria A</v>
      </c>
      <c r="F104" s="19">
        <f>FLOOR(C104*25%,100)</f>
        <v>65700</v>
      </c>
      <c r="G104" s="19">
        <f>+F104-C104</f>
        <v>-197300</v>
      </c>
      <c r="H104" s="20">
        <f>IF(G104&gt;0,G104/C104,0%)</f>
        <v>0</v>
      </c>
      <c r="I104" s="21">
        <v>61500</v>
      </c>
      <c r="J104" s="20">
        <f>IF(G104&lt;=0,-G104/C104,0%)</f>
        <v>0.75019011406844105</v>
      </c>
      <c r="K104" s="22">
        <f>IF(I104="NA","NA",IF(EXACT(I104,F104),0,(+F104-I104)/F104))</f>
        <v>6.3926940639269403E-2</v>
      </c>
      <c r="L104" s="23">
        <v>416</v>
      </c>
      <c r="M104" s="24"/>
      <c r="N104" s="24"/>
      <c r="O104" s="27"/>
      <c r="P104" s="14"/>
      <c r="Q104" s="14"/>
      <c r="R104" s="14"/>
      <c r="S104" s="26"/>
    </row>
    <row r="105" spans="1:19" x14ac:dyDescent="0.25">
      <c r="A105" s="3"/>
      <c r="B105" s="3"/>
      <c r="C105" s="3"/>
      <c r="D105" s="17">
        <v>2</v>
      </c>
      <c r="E105" s="18" t="str">
        <f>VLOOKUP(D105,'[1]Tabla 15'!$B$15:$E$26,3,FALSE)</f>
        <v>Afiliados y beneficiarios categoria B</v>
      </c>
      <c r="F105" s="19">
        <f>FLOOR(C104*30%,100)</f>
        <v>78900</v>
      </c>
      <c r="G105" s="19">
        <f>+F105-C104</f>
        <v>-184100</v>
      </c>
      <c r="H105" s="20">
        <f>IF(G105&gt;0,G105/C104,0%)</f>
        <v>0</v>
      </c>
      <c r="I105" s="21">
        <v>73800</v>
      </c>
      <c r="J105" s="20">
        <f>IF(G105&lt;=0,-G105/C104,0%)</f>
        <v>0.7</v>
      </c>
      <c r="K105" s="22">
        <f>IF(I105="NA","NA",IF(EXACT(I105,F105),0,(+F105-I105)/F105))</f>
        <v>6.4638783269961975E-2</v>
      </c>
      <c r="L105" s="23">
        <v>658</v>
      </c>
      <c r="M105" s="24"/>
      <c r="N105" s="24"/>
      <c r="O105" s="14"/>
      <c r="P105" s="14"/>
      <c r="Q105" s="14"/>
      <c r="R105" s="14"/>
      <c r="S105" s="26"/>
    </row>
    <row r="106" spans="1:19" x14ac:dyDescent="0.25">
      <c r="A106" s="3"/>
      <c r="B106" s="3"/>
      <c r="C106" s="3"/>
      <c r="D106" s="17">
        <v>3</v>
      </c>
      <c r="E106" s="18" t="str">
        <f>VLOOKUP(D106,'[1]Tabla 15'!$B$15:$E$26,3,FALSE)</f>
        <v>Representa el costo del servicio C</v>
      </c>
      <c r="F106" s="19">
        <f>C104</f>
        <v>263000</v>
      </c>
      <c r="G106" s="19">
        <f>+F106-C104</f>
        <v>0</v>
      </c>
      <c r="H106" s="20">
        <f>IF(G106&gt;0,G106/C104,0%)</f>
        <v>0</v>
      </c>
      <c r="I106" s="21">
        <v>246000</v>
      </c>
      <c r="J106" s="20">
        <f>IF(G106&lt;=0,-G106/C104,0%)</f>
        <v>0</v>
      </c>
      <c r="K106" s="22">
        <f>IF(I106="NA","NA",IF(EXACT(I106,F106),0,(+F106-I106)/F106))</f>
        <v>6.4638783269961975E-2</v>
      </c>
      <c r="L106" s="23">
        <v>3</v>
      </c>
      <c r="M106" s="24"/>
      <c r="N106" s="24"/>
      <c r="O106" s="14"/>
      <c r="P106" s="14"/>
      <c r="Q106" s="14"/>
      <c r="R106" s="14"/>
      <c r="S106" s="26"/>
    </row>
    <row r="107" spans="1:19" x14ac:dyDescent="0.25">
      <c r="A107" s="3"/>
      <c r="B107" s="3"/>
      <c r="C107" s="3"/>
      <c r="D107" s="17">
        <v>4</v>
      </c>
      <c r="E107" s="18" t="str">
        <f>VLOOKUP(D107,'[1]Tabla 15'!$B$15:$E$26,3,FALSE)</f>
        <v>D (No afiliados)</v>
      </c>
      <c r="F107" s="19">
        <f>CEILING(C104*1.15,100)</f>
        <v>302500</v>
      </c>
      <c r="G107" s="19">
        <f>+F107-C104</f>
        <v>39500</v>
      </c>
      <c r="H107" s="20">
        <f>IF(G107&gt;0,G107/C104,0%)</f>
        <v>0.15019011406844107</v>
      </c>
      <c r="I107" s="21">
        <v>282900</v>
      </c>
      <c r="J107" s="20">
        <f>IF(G107&lt;=0,-G107/C104,0%)</f>
        <v>0</v>
      </c>
      <c r="K107" s="22">
        <f>IF(I107="NA","NA",IF(EXACT(I107,F107),0,(+F107-I107)/F107))</f>
        <v>6.4793388429752061E-2</v>
      </c>
      <c r="L107" s="23">
        <v>2</v>
      </c>
      <c r="M107" s="24"/>
      <c r="N107" s="24"/>
      <c r="O107" s="14"/>
      <c r="P107" s="14"/>
      <c r="Q107" s="14"/>
      <c r="R107" s="27"/>
      <c r="S107" s="26"/>
    </row>
    <row r="108" spans="1:19" x14ac:dyDescent="0.25">
      <c r="A108" s="2" t="s">
        <v>13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9">
        <f>SUM(L104:L107)</f>
        <v>1079</v>
      </c>
      <c r="M108" s="30"/>
      <c r="N108" s="30"/>
      <c r="O108" s="14"/>
      <c r="P108" s="14"/>
      <c r="Q108" s="14"/>
      <c r="R108" s="27"/>
      <c r="S108" s="26"/>
    </row>
    <row r="109" spans="1:19" x14ac:dyDescent="0.25">
      <c r="A109" s="57"/>
      <c r="B109" s="57"/>
      <c r="C109" s="57"/>
      <c r="D109" s="57"/>
      <c r="E109" s="57"/>
      <c r="F109" s="58"/>
      <c r="G109" s="58"/>
      <c r="H109" s="57"/>
      <c r="I109" s="58"/>
      <c r="J109" s="57"/>
      <c r="K109" s="59"/>
      <c r="L109" s="57"/>
      <c r="M109" s="60"/>
      <c r="N109" s="61"/>
      <c r="O109" s="14"/>
      <c r="P109" s="14"/>
      <c r="Q109" s="14"/>
      <c r="R109" s="14"/>
      <c r="S109" s="26"/>
    </row>
    <row r="110" spans="1:19" x14ac:dyDescent="0.2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4"/>
      <c r="O110" s="14"/>
      <c r="P110" s="14"/>
      <c r="Q110" s="14"/>
      <c r="R110" s="14"/>
      <c r="S110" s="26"/>
    </row>
    <row r="111" spans="1:19" ht="60" x14ac:dyDescent="0.25">
      <c r="A111" s="5" t="s">
        <v>2</v>
      </c>
      <c r="B111" s="5" t="s">
        <v>3</v>
      </c>
      <c r="C111" s="5" t="s">
        <v>4</v>
      </c>
      <c r="D111" s="5" t="s">
        <v>5</v>
      </c>
      <c r="E111" s="5"/>
      <c r="F111" s="6" t="s">
        <v>6</v>
      </c>
      <c r="G111" s="6" t="s">
        <v>7</v>
      </c>
      <c r="H111" s="5" t="s">
        <v>8</v>
      </c>
      <c r="I111" s="7" t="s">
        <v>9</v>
      </c>
      <c r="J111" s="5" t="s">
        <v>10</v>
      </c>
      <c r="K111" s="8" t="s">
        <v>11</v>
      </c>
      <c r="L111" s="5" t="s">
        <v>12</v>
      </c>
      <c r="M111" s="9"/>
      <c r="N111" s="9"/>
      <c r="O111" s="14"/>
      <c r="P111" s="14"/>
      <c r="Q111" s="14"/>
      <c r="R111" s="14"/>
      <c r="S111" s="26"/>
    </row>
    <row r="112" spans="1:19" x14ac:dyDescent="0.25">
      <c r="A112" s="15" t="str">
        <f>'[1]Tabla 15'!B8</f>
        <v>Recreación</v>
      </c>
      <c r="B112" s="48" t="str">
        <f>'[1]RESUMEN SERVICIOS'!A13</f>
        <v>PASADÍA NÁPOLES</v>
      </c>
      <c r="C112" s="16">
        <v>352000</v>
      </c>
      <c r="D112" s="17">
        <v>1</v>
      </c>
      <c r="E112" s="62" t="str">
        <f>VLOOKUP(D112,'[1]Tabla 15'!$B$15:$E$26,3,FALSE)</f>
        <v>Afiliados y beneficiarios categoria A</v>
      </c>
      <c r="F112" s="21">
        <f>FLOOR(C112*25%,100)</f>
        <v>88000</v>
      </c>
      <c r="G112" s="21">
        <f>+F112-C112</f>
        <v>-264000</v>
      </c>
      <c r="H112" s="63">
        <f>IF(G112&gt;0,G112/C112,0%)</f>
        <v>0</v>
      </c>
      <c r="I112" s="21">
        <v>79000</v>
      </c>
      <c r="J112" s="63">
        <v>0.25</v>
      </c>
      <c r="K112" s="64">
        <f>IF(I112="NA","NA",IF(EXACT(I112,F112),0,(+F112-I112)/F112))</f>
        <v>0.10227272727272728</v>
      </c>
      <c r="L112" s="23">
        <v>130</v>
      </c>
      <c r="M112" s="24"/>
      <c r="N112" s="24"/>
      <c r="O112" s="27"/>
      <c r="P112" s="25"/>
      <c r="Q112" s="65"/>
      <c r="R112" s="14"/>
      <c r="S112" s="26"/>
    </row>
    <row r="113" spans="1:19" x14ac:dyDescent="0.25">
      <c r="A113" s="3"/>
      <c r="B113" s="49"/>
      <c r="C113" s="3"/>
      <c r="D113" s="17">
        <v>2</v>
      </c>
      <c r="E113" s="62" t="str">
        <f>VLOOKUP(D113,'[1]Tabla 15'!$B$15:$E$26,3,FALSE)</f>
        <v>Afiliados y beneficiarios categoria B</v>
      </c>
      <c r="F113" s="21">
        <f>FLOOR(C112*30%,100)</f>
        <v>105600</v>
      </c>
      <c r="G113" s="21">
        <f>+F113-C112</f>
        <v>-246400</v>
      </c>
      <c r="H113" s="63">
        <f>IF(G113&gt;0,G113/C112,0%)</f>
        <v>0</v>
      </c>
      <c r="I113" s="21">
        <v>94800</v>
      </c>
      <c r="J113" s="63">
        <v>0.3</v>
      </c>
      <c r="K113" s="64">
        <f>IF(I113="NA","NA",IF(EXACT(I113,F113),0,(+F113-I113)/F113))</f>
        <v>0.10227272727272728</v>
      </c>
      <c r="L113" s="23">
        <v>155</v>
      </c>
      <c r="M113" s="24"/>
      <c r="N113" s="24"/>
      <c r="O113" s="14"/>
      <c r="P113" s="14"/>
      <c r="Q113" s="14"/>
      <c r="R113" s="14"/>
      <c r="S113" s="26"/>
    </row>
    <row r="114" spans="1:19" x14ac:dyDescent="0.25">
      <c r="A114" s="3"/>
      <c r="B114" s="49"/>
      <c r="C114" s="3"/>
      <c r="D114" s="17">
        <v>3</v>
      </c>
      <c r="E114" s="18" t="str">
        <f>VLOOKUP(D114,'[1]Tabla 15'!$B$15:$E$26,3,FALSE)</f>
        <v>Representa el costo del servicio C</v>
      </c>
      <c r="F114" s="19">
        <f>C112</f>
        <v>352000</v>
      </c>
      <c r="G114" s="19">
        <f>+F114-C112</f>
        <v>0</v>
      </c>
      <c r="H114" s="20">
        <f>IF(G114&gt;0,G114/C112,0%)</f>
        <v>0</v>
      </c>
      <c r="I114" s="21">
        <v>316200</v>
      </c>
      <c r="J114" s="20">
        <f>IF(G114&lt;=0,-G114/C112,0%)</f>
        <v>0</v>
      </c>
      <c r="K114" s="22">
        <f>IF(I114="NA","NA",IF(EXACT(I114,F114),0,(+F114-I114)/F114))</f>
        <v>0.10170454545454545</v>
      </c>
      <c r="L114" s="23">
        <v>5</v>
      </c>
      <c r="M114" s="24"/>
      <c r="N114" s="24"/>
      <c r="O114" s="14"/>
      <c r="P114" s="14"/>
      <c r="Q114" s="14"/>
      <c r="R114" s="25"/>
      <c r="S114" s="26"/>
    </row>
    <row r="115" spans="1:19" x14ac:dyDescent="0.25">
      <c r="A115" s="3"/>
      <c r="B115" s="49"/>
      <c r="C115" s="3"/>
      <c r="D115" s="17">
        <v>4</v>
      </c>
      <c r="E115" s="18" t="str">
        <f>VLOOKUP(D115,'[1]Tabla 15'!$B$15:$E$26,3,FALSE)</f>
        <v>D (No afiliados)</v>
      </c>
      <c r="F115" s="19">
        <f>CEILING(C112*1.15,100)</f>
        <v>404800</v>
      </c>
      <c r="G115" s="19">
        <f>+F115-C112</f>
        <v>52800</v>
      </c>
      <c r="H115" s="20">
        <f>IF(G115&gt;0,G115/C112,0%)</f>
        <v>0.15</v>
      </c>
      <c r="I115" s="21">
        <v>363700</v>
      </c>
      <c r="J115" s="20">
        <f>IF(G115&lt;=0,-G115/C112,0%)</f>
        <v>0</v>
      </c>
      <c r="K115" s="22">
        <f>IF(I115="NA","NA",IF(EXACT(I115,F115),0,(+F115-I115)/F115))</f>
        <v>0.10153162055335968</v>
      </c>
      <c r="L115" s="23">
        <v>5</v>
      </c>
      <c r="M115" s="24"/>
      <c r="N115" s="24"/>
      <c r="O115" s="14"/>
      <c r="P115" s="14"/>
      <c r="Q115" s="14"/>
      <c r="R115" s="27"/>
      <c r="S115" s="26"/>
    </row>
    <row r="116" spans="1:19" x14ac:dyDescent="0.2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9">
        <f>SUM(L112:L115)</f>
        <v>295</v>
      </c>
      <c r="M116" s="30"/>
      <c r="N116" s="30"/>
      <c r="O116" s="14"/>
      <c r="P116" s="14"/>
      <c r="Q116" s="14"/>
      <c r="R116" s="14"/>
      <c r="S116" s="26"/>
    </row>
    <row r="117" spans="1:19" x14ac:dyDescent="0.25">
      <c r="A117" s="66"/>
      <c r="B117" s="66"/>
      <c r="C117" s="66"/>
      <c r="D117" s="66"/>
      <c r="E117" s="66"/>
      <c r="F117" s="67"/>
      <c r="G117" s="67"/>
      <c r="H117" s="66"/>
      <c r="I117" s="58"/>
      <c r="J117" s="66"/>
      <c r="K117" s="68"/>
      <c r="L117" s="66"/>
      <c r="M117" s="69"/>
      <c r="N117" s="70"/>
      <c r="O117" s="14"/>
      <c r="P117" s="14"/>
      <c r="Q117" s="14"/>
      <c r="R117" s="14"/>
      <c r="S117" s="26"/>
    </row>
    <row r="118" spans="1:19" x14ac:dyDescent="0.25">
      <c r="A118" s="2" t="s">
        <v>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4"/>
      <c r="O118" s="14"/>
      <c r="P118" s="14"/>
      <c r="Q118" s="14"/>
      <c r="R118" s="14"/>
      <c r="S118" s="26"/>
    </row>
    <row r="119" spans="1:19" ht="60" x14ac:dyDescent="0.25">
      <c r="A119" s="5" t="s">
        <v>2</v>
      </c>
      <c r="B119" s="5" t="s">
        <v>3</v>
      </c>
      <c r="C119" s="5" t="s">
        <v>4</v>
      </c>
      <c r="D119" s="5" t="s">
        <v>5</v>
      </c>
      <c r="E119" s="5"/>
      <c r="F119" s="6" t="s">
        <v>6</v>
      </c>
      <c r="G119" s="6" t="s">
        <v>7</v>
      </c>
      <c r="H119" s="5" t="s">
        <v>8</v>
      </c>
      <c r="I119" s="7" t="s">
        <v>9</v>
      </c>
      <c r="J119" s="5" t="s">
        <v>10</v>
      </c>
      <c r="K119" s="8" t="s">
        <v>11</v>
      </c>
      <c r="L119" s="5" t="s">
        <v>12</v>
      </c>
      <c r="M119" s="9"/>
      <c r="N119" s="9"/>
      <c r="O119" s="14"/>
      <c r="P119" s="14"/>
      <c r="Q119" s="14"/>
      <c r="R119" s="14"/>
      <c r="S119" s="26"/>
    </row>
    <row r="120" spans="1:19" x14ac:dyDescent="0.25">
      <c r="A120" s="15" t="str">
        <f>'[1]Tabla 15'!B5</f>
        <v>Recreación</v>
      </c>
      <c r="B120" s="71" t="str">
        <f>'[1]RESUMEN SERVICIOS'!A14</f>
        <v>TRANSPORTE BCA</v>
      </c>
      <c r="C120" s="16">
        <f>+'[2]asiganción de ppto'!CR46</f>
        <v>10000</v>
      </c>
      <c r="D120" s="17">
        <v>1</v>
      </c>
      <c r="E120" s="18" t="str">
        <f>VLOOKUP(D120,'[1]Tabla 15'!$B$15:$E$26,3,FALSE)</f>
        <v>Afiliados y beneficiarios categoria A</v>
      </c>
      <c r="F120" s="19">
        <v>0</v>
      </c>
      <c r="G120" s="19">
        <f>+F120-C120</f>
        <v>-10000</v>
      </c>
      <c r="H120" s="20">
        <f>IF(G120&gt;0,G120/C120,0%)</f>
        <v>0</v>
      </c>
      <c r="I120" s="21">
        <v>0</v>
      </c>
      <c r="J120" s="20">
        <f>IF(G120&lt;=0,-G120/C120,0%)</f>
        <v>1</v>
      </c>
      <c r="K120" s="22">
        <f>IF(I120="NA","NA",IF(EXACT(I120,F120),0,(+F120-I120)/F120))</f>
        <v>0</v>
      </c>
      <c r="L120" s="23">
        <v>4000</v>
      </c>
      <c r="M120" s="24"/>
      <c r="N120" s="24"/>
      <c r="O120" s="14"/>
      <c r="P120" s="25"/>
      <c r="Q120" s="25"/>
      <c r="R120" s="14"/>
      <c r="S120" s="26"/>
    </row>
    <row r="121" spans="1:19" x14ac:dyDescent="0.25">
      <c r="A121" s="3"/>
      <c r="B121" s="49"/>
      <c r="C121" s="3"/>
      <c r="D121" s="17">
        <v>2</v>
      </c>
      <c r="E121" s="18" t="str">
        <f>VLOOKUP(D121,'[1]Tabla 15'!$B$15:$E$26,3,FALSE)</f>
        <v>Afiliados y beneficiarios categoria B</v>
      </c>
      <c r="F121" s="19">
        <v>0</v>
      </c>
      <c r="G121" s="19">
        <f>+F121-C120</f>
        <v>-10000</v>
      </c>
      <c r="H121" s="20">
        <f>IF(G121&gt;0,G121/C120,0%)</f>
        <v>0</v>
      </c>
      <c r="I121" s="21">
        <v>0</v>
      </c>
      <c r="J121" s="20">
        <f>IF(G121&lt;=0,-G121/C120,0%)</f>
        <v>1</v>
      </c>
      <c r="K121" s="22">
        <f>IF(I121="NA","NA",IF(EXACT(I121,F121),0,(+F121-I121)/F121))</f>
        <v>0</v>
      </c>
      <c r="L121" s="23">
        <v>3098</v>
      </c>
      <c r="M121" s="24"/>
      <c r="N121" s="24"/>
      <c r="O121" s="14"/>
      <c r="P121" s="14"/>
      <c r="Q121" s="14"/>
      <c r="R121" s="14"/>
      <c r="S121" s="26"/>
    </row>
    <row r="122" spans="1:19" x14ac:dyDescent="0.25">
      <c r="A122" s="3"/>
      <c r="B122" s="49"/>
      <c r="C122" s="3"/>
      <c r="D122" s="17">
        <v>3</v>
      </c>
      <c r="E122" s="18" t="str">
        <f>VLOOKUP(D122,'[1]Tabla 15'!$B$15:$E$26,3,FALSE)</f>
        <v>Representa el costo del servicio C</v>
      </c>
      <c r="F122" s="19">
        <f>C120</f>
        <v>10000</v>
      </c>
      <c r="G122" s="19">
        <f>+F122-C120</f>
        <v>0</v>
      </c>
      <c r="H122" s="20">
        <f>IF(G122&gt;0,G122/C120,0%)</f>
        <v>0</v>
      </c>
      <c r="I122" s="21">
        <v>9600</v>
      </c>
      <c r="J122" s="20">
        <f>IF(G122&lt;=0,-G122/C120,0%)</f>
        <v>0</v>
      </c>
      <c r="K122" s="22">
        <f>IF(I122="NA","NA",IF(EXACT(I122,F122),0,(+F122-I122)/F122))</f>
        <v>0.04</v>
      </c>
      <c r="L122" s="23">
        <v>600</v>
      </c>
      <c r="M122" s="24"/>
      <c r="N122" s="24"/>
      <c r="O122" s="14"/>
      <c r="P122" s="14"/>
      <c r="Q122" s="14"/>
      <c r="R122" s="27"/>
      <c r="S122" s="26"/>
    </row>
    <row r="123" spans="1:19" x14ac:dyDescent="0.25">
      <c r="A123" s="3"/>
      <c r="B123" s="49"/>
      <c r="C123" s="3"/>
      <c r="D123" s="17">
        <v>4</v>
      </c>
      <c r="E123" s="18" t="str">
        <f>VLOOKUP(D123,'[1]Tabla 15'!$B$15:$E$26,3,FALSE)</f>
        <v>D (No afiliados)</v>
      </c>
      <c r="F123" s="19">
        <f>CEILING(C120*1.2,100)</f>
        <v>12000</v>
      </c>
      <c r="G123" s="19">
        <f>+F123-C120</f>
        <v>2000</v>
      </c>
      <c r="H123" s="20">
        <f>IF(G123&gt;0,G123/C120,0%)</f>
        <v>0.2</v>
      </c>
      <c r="I123" s="21">
        <v>11600</v>
      </c>
      <c r="J123" s="20">
        <f>IF(G123&lt;=0,-G123/C120,0%)</f>
        <v>0</v>
      </c>
      <c r="K123" s="22">
        <f>IF(I123="NA","NA",IF(EXACT(I123,F123),0,(+F123-I123)/F123))</f>
        <v>3.3333333333333333E-2</v>
      </c>
      <c r="L123" s="23">
        <v>200</v>
      </c>
      <c r="M123" s="24"/>
      <c r="N123" s="24"/>
      <c r="O123" s="14"/>
      <c r="P123" s="14"/>
      <c r="Q123" s="14"/>
      <c r="R123" s="27"/>
      <c r="S123" s="26"/>
    </row>
    <row r="124" spans="1:19" x14ac:dyDescent="0.25">
      <c r="A124" s="2" t="s">
        <v>13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9">
        <f>SUM(L120:L123)</f>
        <v>7898</v>
      </c>
      <c r="M124" s="30"/>
      <c r="N124" s="30"/>
      <c r="O124" s="14"/>
      <c r="P124" s="14"/>
      <c r="Q124" s="14"/>
      <c r="R124" s="14"/>
      <c r="S124" s="26"/>
    </row>
    <row r="125" spans="1:19" x14ac:dyDescent="0.25">
      <c r="A125" s="57"/>
      <c r="B125" s="57"/>
      <c r="C125" s="57"/>
      <c r="D125" s="57"/>
      <c r="E125" s="57"/>
      <c r="F125" s="58"/>
      <c r="G125" s="58"/>
      <c r="H125" s="57"/>
      <c r="I125" s="58"/>
      <c r="J125" s="57"/>
      <c r="K125" s="59"/>
      <c r="L125" s="57"/>
      <c r="M125" s="60"/>
      <c r="N125" s="61"/>
      <c r="O125" s="14"/>
      <c r="P125" s="14"/>
      <c r="Q125" s="14"/>
      <c r="R125" s="14"/>
      <c r="S125" s="26"/>
    </row>
    <row r="126" spans="1:19" x14ac:dyDescent="0.25">
      <c r="A126" s="2" t="s">
        <v>1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4"/>
      <c r="O126" s="14"/>
      <c r="P126" s="14"/>
      <c r="Q126" s="14"/>
      <c r="R126" s="14"/>
      <c r="S126" s="26"/>
    </row>
    <row r="127" spans="1:19" ht="60" x14ac:dyDescent="0.25">
      <c r="A127" s="5" t="s">
        <v>2</v>
      </c>
      <c r="B127" s="5" t="s">
        <v>3</v>
      </c>
      <c r="C127" s="5" t="s">
        <v>4</v>
      </c>
      <c r="D127" s="5" t="s">
        <v>5</v>
      </c>
      <c r="E127" s="5"/>
      <c r="F127" s="6" t="s">
        <v>6</v>
      </c>
      <c r="G127" s="6" t="s">
        <v>7</v>
      </c>
      <c r="H127" s="5" t="s">
        <v>8</v>
      </c>
      <c r="I127" s="7" t="s">
        <v>9</v>
      </c>
      <c r="J127" s="5" t="s">
        <v>10</v>
      </c>
      <c r="K127" s="8" t="s">
        <v>11</v>
      </c>
      <c r="L127" s="5" t="s">
        <v>12</v>
      </c>
      <c r="M127" s="9"/>
      <c r="N127" s="9"/>
      <c r="O127" s="14"/>
      <c r="P127" s="14"/>
      <c r="Q127" s="14"/>
      <c r="R127" s="14"/>
      <c r="S127" s="26"/>
    </row>
    <row r="128" spans="1:19" x14ac:dyDescent="0.25">
      <c r="A128" s="15" t="str">
        <f>'[1]Tabla 15'!B5</f>
        <v>Recreación</v>
      </c>
      <c r="B128" s="71" t="str">
        <f>'[1]RESUMEN SERVICIOS'!A15</f>
        <v xml:space="preserve">TRANSPORTE  P. WILCHES </v>
      </c>
      <c r="C128" s="16">
        <f>+'[2]asiganción de ppto'!CT46</f>
        <v>60000</v>
      </c>
      <c r="D128" s="17">
        <v>1</v>
      </c>
      <c r="E128" s="18" t="str">
        <f>VLOOKUP(D128,'[1]Tabla 15'!$B$15:$E$26,3,FALSE)</f>
        <v>Afiliados y beneficiarios categoria A</v>
      </c>
      <c r="F128" s="19">
        <v>0</v>
      </c>
      <c r="G128" s="19">
        <f>+F128-C128</f>
        <v>-60000</v>
      </c>
      <c r="H128" s="20">
        <f>IF(G128&gt;0,G128/C128,0%)</f>
        <v>0</v>
      </c>
      <c r="I128" s="21">
        <v>0</v>
      </c>
      <c r="J128" s="20">
        <f>IF(G128&lt;=0,-G128/C128,0%)</f>
        <v>1</v>
      </c>
      <c r="K128" s="22">
        <f>IF(I128="NA","NA",IF(EXACT(I128,F128),0,(+F128-I128)/F128))</f>
        <v>0</v>
      </c>
      <c r="L128" s="23">
        <v>655</v>
      </c>
      <c r="M128" s="24"/>
      <c r="N128" s="24"/>
      <c r="O128" s="14"/>
      <c r="P128" s="25"/>
      <c r="Q128" s="25"/>
      <c r="R128" s="14"/>
      <c r="S128" s="26"/>
    </row>
    <row r="129" spans="1:19" x14ac:dyDescent="0.25">
      <c r="A129" s="3"/>
      <c r="B129" s="49"/>
      <c r="C129" s="3"/>
      <c r="D129" s="17">
        <v>2</v>
      </c>
      <c r="E129" s="18" t="str">
        <f>VLOOKUP(D129,'[1]Tabla 15'!$B$15:$E$26,3,FALSE)</f>
        <v>Afiliados y beneficiarios categoria B</v>
      </c>
      <c r="F129" s="19">
        <v>0</v>
      </c>
      <c r="G129" s="19">
        <f>+F129-C128</f>
        <v>-60000</v>
      </c>
      <c r="H129" s="20">
        <f>IF(G129&gt;0,G129/C128,0%)</f>
        <v>0</v>
      </c>
      <c r="I129" s="21">
        <v>0</v>
      </c>
      <c r="J129" s="20">
        <f>IF(G129&lt;=0,-G129/C128,0%)</f>
        <v>1</v>
      </c>
      <c r="K129" s="22">
        <f>IF(I129="NA","NA",IF(EXACT(I129,F129),0,(+F129-I129)/F129))</f>
        <v>0</v>
      </c>
      <c r="L129" s="23">
        <v>747</v>
      </c>
      <c r="M129" s="24"/>
      <c r="N129" s="24"/>
      <c r="O129" s="14"/>
      <c r="P129" s="14"/>
      <c r="Q129" s="14"/>
      <c r="R129" s="14"/>
      <c r="S129" s="26"/>
    </row>
    <row r="130" spans="1:19" x14ac:dyDescent="0.25">
      <c r="A130" s="3"/>
      <c r="B130" s="49"/>
      <c r="C130" s="3"/>
      <c r="D130" s="17">
        <v>3</v>
      </c>
      <c r="E130" s="18" t="str">
        <f>VLOOKUP(D130,'[1]Tabla 15'!$B$15:$E$26,3,FALSE)</f>
        <v>Representa el costo del servicio C</v>
      </c>
      <c r="F130" s="19">
        <f>C128</f>
        <v>60000</v>
      </c>
      <c r="G130" s="19">
        <f>+F130-C128</f>
        <v>0</v>
      </c>
      <c r="H130" s="20">
        <f>IF(G130&gt;0,G130/C128,0%)</f>
        <v>0</v>
      </c>
      <c r="I130" s="21">
        <v>58600</v>
      </c>
      <c r="J130" s="20">
        <f>IF(G130&lt;=0,-G130/C128,0%)</f>
        <v>0</v>
      </c>
      <c r="K130" s="22">
        <f>IF(I130="NA","NA",IF(EXACT(I130,F130),0,(+F130-I130)/F130))</f>
        <v>2.3333333333333334E-2</v>
      </c>
      <c r="L130" s="23">
        <v>25</v>
      </c>
      <c r="M130" s="24"/>
      <c r="N130" s="24"/>
      <c r="O130" s="14"/>
      <c r="P130" s="14"/>
      <c r="Q130" s="14"/>
      <c r="R130" s="27"/>
      <c r="S130" s="26"/>
    </row>
    <row r="131" spans="1:19" x14ac:dyDescent="0.25">
      <c r="A131" s="3"/>
      <c r="B131" s="49"/>
      <c r="C131" s="3"/>
      <c r="D131" s="17">
        <v>4</v>
      </c>
      <c r="E131" s="18" t="str">
        <f>VLOOKUP(D131,'[1]Tabla 15'!$B$15:$E$26,3,FALSE)</f>
        <v>D (No afiliados)</v>
      </c>
      <c r="F131" s="19">
        <f>CEILING(C128*1.2,100)</f>
        <v>72000</v>
      </c>
      <c r="G131" s="19">
        <f>+F131-C128</f>
        <v>12000</v>
      </c>
      <c r="H131" s="20">
        <f>IF(G131&gt;0,G131/C128,0%)</f>
        <v>0.2</v>
      </c>
      <c r="I131" s="21">
        <v>70400</v>
      </c>
      <c r="J131" s="20">
        <f>IF(G131&lt;=0,-G131/C128,0%)</f>
        <v>0</v>
      </c>
      <c r="K131" s="22">
        <f>IF(I131="NA","NA",IF(EXACT(I131,F131),0,(+F131-I131)/F131))</f>
        <v>2.2222222222222223E-2</v>
      </c>
      <c r="L131" s="23">
        <v>10</v>
      </c>
      <c r="M131" s="24"/>
      <c r="N131" s="24"/>
      <c r="O131" s="14"/>
      <c r="P131" s="14"/>
      <c r="Q131" s="14"/>
      <c r="R131" s="27"/>
      <c r="S131" s="26"/>
    </row>
    <row r="132" spans="1:19" x14ac:dyDescent="0.25">
      <c r="A132" s="2" t="s">
        <v>13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9">
        <f>SUM(L128:L131)</f>
        <v>1437</v>
      </c>
      <c r="M132" s="30"/>
      <c r="N132" s="30"/>
      <c r="O132" s="14"/>
      <c r="P132" s="14"/>
      <c r="Q132" s="14"/>
      <c r="R132" s="14"/>
      <c r="S132" s="26"/>
    </row>
    <row r="133" spans="1:19" x14ac:dyDescent="0.25">
      <c r="A133" s="57"/>
      <c r="B133" s="57"/>
      <c r="C133" s="57"/>
      <c r="D133" s="57"/>
      <c r="E133" s="57"/>
      <c r="F133" s="58"/>
      <c r="G133" s="58"/>
      <c r="H133" s="57"/>
      <c r="I133" s="58"/>
      <c r="J133" s="57"/>
      <c r="K133" s="59"/>
      <c r="L133" s="57"/>
      <c r="M133" s="60"/>
      <c r="N133" s="61"/>
      <c r="O133" s="14"/>
      <c r="P133" s="14"/>
      <c r="Q133" s="14"/>
      <c r="R133" s="14"/>
      <c r="S133" s="26"/>
    </row>
    <row r="134" spans="1:19" x14ac:dyDescent="0.25">
      <c r="A134" s="2" t="s">
        <v>1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4"/>
      <c r="O134" s="14"/>
      <c r="P134" s="14"/>
      <c r="Q134" s="14"/>
      <c r="R134" s="14"/>
      <c r="S134" s="26"/>
    </row>
    <row r="135" spans="1:19" ht="60" x14ac:dyDescent="0.25">
      <c r="A135" s="5" t="s">
        <v>2</v>
      </c>
      <c r="B135" s="5" t="s">
        <v>3</v>
      </c>
      <c r="C135" s="5" t="s">
        <v>4</v>
      </c>
      <c r="D135" s="5" t="s">
        <v>5</v>
      </c>
      <c r="E135" s="5"/>
      <c r="F135" s="6" t="s">
        <v>6</v>
      </c>
      <c r="G135" s="6" t="s">
        <v>7</v>
      </c>
      <c r="H135" s="5" t="s">
        <v>8</v>
      </c>
      <c r="I135" s="7" t="s">
        <v>9</v>
      </c>
      <c r="J135" s="5" t="s">
        <v>10</v>
      </c>
      <c r="K135" s="8" t="s">
        <v>11</v>
      </c>
      <c r="L135" s="5" t="s">
        <v>12</v>
      </c>
      <c r="M135" s="9"/>
      <c r="N135" s="9"/>
      <c r="O135" s="14"/>
      <c r="P135" s="14"/>
      <c r="Q135" s="14"/>
      <c r="R135" s="14"/>
      <c r="S135" s="26"/>
    </row>
    <row r="136" spans="1:19" x14ac:dyDescent="0.25">
      <c r="A136" s="15" t="str">
        <f>'[1]Tabla 15'!B5</f>
        <v>Recreación</v>
      </c>
      <c r="B136" s="48" t="str">
        <f>'[1]RESUMEN SERVICIOS'!A16</f>
        <v>BINGO ESPECIAL</v>
      </c>
      <c r="C136" s="16">
        <f>+'[2]asiganción de ppto'!AJ46</f>
        <v>50000</v>
      </c>
      <c r="D136" s="17">
        <v>1</v>
      </c>
      <c r="E136" s="18" t="str">
        <f>VLOOKUP(D136,'[1]Tabla 15'!$B$15:$E$26,3,FALSE)</f>
        <v>Afiliados y beneficiarios categoria A</v>
      </c>
      <c r="F136" s="19">
        <v>5000</v>
      </c>
      <c r="G136" s="19">
        <f>+F136-C136</f>
        <v>-45000</v>
      </c>
      <c r="H136" s="20">
        <f>IF(G136&gt;0,G136/C136,0%)</f>
        <v>0</v>
      </c>
      <c r="I136" s="21">
        <v>0</v>
      </c>
      <c r="J136" s="20">
        <v>0.9</v>
      </c>
      <c r="K136" s="22">
        <f>IF(I136="NA","NA",IF(EXACT(I136,F136),0,(+F136-I136)/F136))</f>
        <v>1</v>
      </c>
      <c r="L136" s="23">
        <v>35</v>
      </c>
      <c r="M136" s="24"/>
      <c r="N136" s="24"/>
      <c r="O136" s="27"/>
      <c r="P136" s="25"/>
      <c r="Q136" s="25"/>
      <c r="R136" s="14"/>
      <c r="S136" s="26"/>
    </row>
    <row r="137" spans="1:19" x14ac:dyDescent="0.25">
      <c r="A137" s="3"/>
      <c r="B137" s="49"/>
      <c r="C137" s="3"/>
      <c r="D137" s="17">
        <v>2</v>
      </c>
      <c r="E137" s="18" t="str">
        <f>VLOOKUP(D137,'[1]Tabla 15'!$B$15:$E$26,3,FALSE)</f>
        <v>Afiliados y beneficiarios categoria B</v>
      </c>
      <c r="F137" s="19">
        <v>5000</v>
      </c>
      <c r="G137" s="19">
        <f>+F137-C136</f>
        <v>-45000</v>
      </c>
      <c r="H137" s="20">
        <f>IF(G137&gt;0,G137/C136,0%)</f>
        <v>0</v>
      </c>
      <c r="I137" s="21">
        <v>0</v>
      </c>
      <c r="J137" s="20">
        <v>0.9</v>
      </c>
      <c r="K137" s="22">
        <f>IF(I137="NA","NA",IF(EXACT(I137,F137),0,(+F137-I137)/F137))</f>
        <v>1</v>
      </c>
      <c r="L137" s="23">
        <v>57</v>
      </c>
      <c r="M137" s="24"/>
      <c r="N137" s="24"/>
      <c r="O137" s="14"/>
      <c r="P137" s="14"/>
      <c r="Q137" s="14"/>
      <c r="R137" s="14"/>
      <c r="S137" s="26"/>
    </row>
    <row r="138" spans="1:19" x14ac:dyDescent="0.25">
      <c r="A138" s="3"/>
      <c r="B138" s="49"/>
      <c r="C138" s="3"/>
      <c r="D138" s="17">
        <v>3</v>
      </c>
      <c r="E138" s="18" t="str">
        <f>VLOOKUP(D138,'[1]Tabla 15'!$B$15:$E$26,3,FALSE)</f>
        <v>Representa el costo del servicio C</v>
      </c>
      <c r="F138" s="19">
        <f>C136</f>
        <v>50000</v>
      </c>
      <c r="G138" s="19">
        <f>+F138-C136</f>
        <v>0</v>
      </c>
      <c r="H138" s="20">
        <f>IF(G138&gt;0,G138/C136,0%)</f>
        <v>0</v>
      </c>
      <c r="I138" s="21">
        <v>42600</v>
      </c>
      <c r="J138" s="20">
        <f>IF(G138&lt;=0,-G138/C136,0%)</f>
        <v>0</v>
      </c>
      <c r="K138" s="22">
        <f>IF(I138="NA","NA",IF(EXACT(I138,F138),0,(+F138-I138)/F138))</f>
        <v>0.14799999999999999</v>
      </c>
      <c r="L138" s="23">
        <v>5</v>
      </c>
      <c r="M138" s="24"/>
      <c r="N138" s="24"/>
      <c r="O138" s="14"/>
      <c r="P138" s="14"/>
      <c r="Q138" s="14"/>
      <c r="R138" s="27"/>
      <c r="S138" s="26"/>
    </row>
    <row r="139" spans="1:19" x14ac:dyDescent="0.25">
      <c r="A139" s="3"/>
      <c r="B139" s="49"/>
      <c r="C139" s="3"/>
      <c r="D139" s="17">
        <v>4</v>
      </c>
      <c r="E139" s="18" t="str">
        <f>VLOOKUP(D139,'[1]Tabla 15'!$B$15:$E$26,3,FALSE)</f>
        <v>D (No afiliados)</v>
      </c>
      <c r="F139" s="19">
        <f>CEILING(C136*1.25,100)</f>
        <v>62500</v>
      </c>
      <c r="G139" s="19">
        <f>+F139-C136</f>
        <v>12500</v>
      </c>
      <c r="H139" s="20">
        <f>IF(G139&gt;0,G139/C136,0%)</f>
        <v>0.25</v>
      </c>
      <c r="I139" s="21">
        <v>53300</v>
      </c>
      <c r="J139" s="20">
        <f>IF(G139&lt;=0,-G139/C136,0%)</f>
        <v>0</v>
      </c>
      <c r="K139" s="22">
        <f>IF(I139="NA","NA",IF(EXACT(I139,F139),0,(+F139-I139)/F139))</f>
        <v>0.1472</v>
      </c>
      <c r="L139" s="23">
        <v>3</v>
      </c>
      <c r="M139" s="24"/>
      <c r="N139" s="24"/>
      <c r="O139" s="14"/>
      <c r="P139" s="14"/>
      <c r="Q139" s="14"/>
      <c r="R139" s="27"/>
      <c r="S139" s="26"/>
    </row>
    <row r="140" spans="1:19" x14ac:dyDescent="0.25">
      <c r="A140" s="2" t="s">
        <v>13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9">
        <f>SUM(L136:L139)</f>
        <v>100</v>
      </c>
      <c r="M140" s="30"/>
      <c r="N140" s="30"/>
      <c r="O140" s="14"/>
      <c r="P140" s="14"/>
      <c r="Q140" s="14"/>
      <c r="R140" s="14"/>
      <c r="S140" s="26"/>
    </row>
    <row r="141" spans="1:19" x14ac:dyDescent="0.25">
      <c r="A141" s="66"/>
      <c r="B141" s="66"/>
      <c r="C141" s="66"/>
      <c r="D141" s="66"/>
      <c r="E141" s="66"/>
      <c r="F141" s="67"/>
      <c r="G141" s="67"/>
      <c r="H141" s="66"/>
      <c r="I141" s="58"/>
      <c r="J141" s="66"/>
      <c r="K141" s="68"/>
      <c r="L141" s="66"/>
      <c r="M141" s="69"/>
      <c r="N141" s="70"/>
      <c r="O141" s="14"/>
      <c r="P141" s="14"/>
      <c r="Q141" s="14"/>
      <c r="R141" s="14"/>
      <c r="S141" s="26"/>
    </row>
    <row r="142" spans="1:19" x14ac:dyDescent="0.25">
      <c r="A142" s="2" t="s">
        <v>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4"/>
      <c r="O142" s="14"/>
      <c r="P142" s="14"/>
      <c r="Q142" s="14"/>
      <c r="R142" s="14"/>
      <c r="S142" s="26"/>
    </row>
    <row r="143" spans="1:19" ht="64.5" customHeight="1" x14ac:dyDescent="0.25">
      <c r="A143" s="5" t="s">
        <v>2</v>
      </c>
      <c r="B143" s="5" t="s">
        <v>3</v>
      </c>
      <c r="C143" s="5" t="s">
        <v>4</v>
      </c>
      <c r="D143" s="5" t="s">
        <v>5</v>
      </c>
      <c r="E143" s="5"/>
      <c r="F143" s="6" t="s">
        <v>6</v>
      </c>
      <c r="G143" s="6" t="s">
        <v>7</v>
      </c>
      <c r="H143" s="5" t="s">
        <v>8</v>
      </c>
      <c r="I143" s="7" t="s">
        <v>9</v>
      </c>
      <c r="J143" s="5" t="s">
        <v>10</v>
      </c>
      <c r="K143" s="8" t="s">
        <v>11</v>
      </c>
      <c r="L143" s="5" t="s">
        <v>12</v>
      </c>
      <c r="M143" s="9"/>
      <c r="N143" s="9"/>
      <c r="O143" s="14"/>
      <c r="P143" s="14"/>
      <c r="Q143" s="14"/>
      <c r="R143" s="14"/>
      <c r="S143" s="26"/>
    </row>
    <row r="144" spans="1:19" x14ac:dyDescent="0.25">
      <c r="A144" s="15" t="str">
        <f>'[1]Tabla 15'!B5</f>
        <v>Recreación</v>
      </c>
      <c r="B144" s="48" t="str">
        <f>'[1]RESUMEN SERVICIOS'!A17</f>
        <v>BINGO SENCILLO</v>
      </c>
      <c r="C144" s="16">
        <f>+'[2]asiganción de ppto'!AL46</f>
        <v>11000</v>
      </c>
      <c r="D144" s="17">
        <v>1</v>
      </c>
      <c r="E144" s="18" t="str">
        <f>VLOOKUP(D144,'[1]Tabla 15'!$B$15:$E$26,3,FALSE)</f>
        <v>Afiliados y beneficiarios categoria A</v>
      </c>
      <c r="F144" s="19">
        <v>0</v>
      </c>
      <c r="G144" s="19">
        <f>+F144-C144</f>
        <v>-11000</v>
      </c>
      <c r="H144" s="20">
        <f>IF(G144&gt;0,G144/C144,0%)</f>
        <v>0</v>
      </c>
      <c r="I144" s="21" t="s">
        <v>14</v>
      </c>
      <c r="J144" s="20">
        <f>IF(G144&lt;=0,-G144/C144,0%)</f>
        <v>1</v>
      </c>
      <c r="K144" s="22" t="str">
        <f>IF(I144="NA","NA",IF(EXACT(I144,F144),0,(+F144-I144)/F144))</f>
        <v>NA</v>
      </c>
      <c r="L144" s="23">
        <v>92</v>
      </c>
      <c r="M144" s="24"/>
      <c r="N144" s="24"/>
      <c r="O144" s="14"/>
      <c r="P144" s="25"/>
      <c r="Q144" s="25"/>
      <c r="R144" s="14"/>
      <c r="S144" s="26"/>
    </row>
    <row r="145" spans="1:19" x14ac:dyDescent="0.25">
      <c r="A145" s="3"/>
      <c r="B145" s="49"/>
      <c r="C145" s="3"/>
      <c r="D145" s="17">
        <v>2</v>
      </c>
      <c r="E145" s="18" t="str">
        <f>VLOOKUP(D145,'[1]Tabla 15'!$B$15:$E$26,3,FALSE)</f>
        <v>Afiliados y beneficiarios categoria B</v>
      </c>
      <c r="F145" s="19">
        <v>0</v>
      </c>
      <c r="G145" s="19">
        <f>+F145-C144</f>
        <v>-11000</v>
      </c>
      <c r="H145" s="20">
        <f>IF(G145&gt;0,G145/C144,0%)</f>
        <v>0</v>
      </c>
      <c r="I145" s="21" t="s">
        <v>14</v>
      </c>
      <c r="J145" s="20">
        <f>IF(G145&lt;=0,-G145/C144,0%)</f>
        <v>1</v>
      </c>
      <c r="K145" s="22" t="str">
        <f>IF(I145="NA","NA",IF(EXACT(I145,F145),0,(+F145-I145)/F145))</f>
        <v>NA</v>
      </c>
      <c r="L145" s="23">
        <v>100</v>
      </c>
      <c r="M145" s="24"/>
      <c r="N145" s="24"/>
      <c r="O145" s="14"/>
      <c r="P145" s="14"/>
      <c r="Q145" s="14"/>
      <c r="R145" s="14"/>
      <c r="S145" s="26"/>
    </row>
    <row r="146" spans="1:19" x14ac:dyDescent="0.25">
      <c r="A146" s="3"/>
      <c r="B146" s="49"/>
      <c r="C146" s="3"/>
      <c r="D146" s="17">
        <v>3</v>
      </c>
      <c r="E146" s="18" t="str">
        <f>VLOOKUP(D146,'[1]Tabla 15'!$B$15:$E$26,3,FALSE)</f>
        <v>Representa el costo del servicio C</v>
      </c>
      <c r="F146" s="19">
        <f>C144</f>
        <v>11000</v>
      </c>
      <c r="G146" s="19">
        <f>+F146-C144</f>
        <v>0</v>
      </c>
      <c r="H146" s="20">
        <f>IF(G146&gt;0,G146/C144,0%)</f>
        <v>0</v>
      </c>
      <c r="I146" s="21">
        <v>6400</v>
      </c>
      <c r="J146" s="20">
        <f>IF(G146&lt;=0,-G146/C144,0%)</f>
        <v>0</v>
      </c>
      <c r="K146" s="22">
        <f>IF(I146="NA","NA",IF(EXACT(I146,F146),0,(+F146-I146)/F146))</f>
        <v>0.41818181818181815</v>
      </c>
      <c r="L146" s="23">
        <v>5</v>
      </c>
      <c r="M146" s="24"/>
      <c r="N146" s="24"/>
      <c r="O146" s="14"/>
      <c r="P146" s="14"/>
      <c r="Q146" s="14"/>
      <c r="R146" s="14"/>
      <c r="S146" s="26"/>
    </row>
    <row r="147" spans="1:19" x14ac:dyDescent="0.25">
      <c r="A147" s="3"/>
      <c r="B147" s="49"/>
      <c r="C147" s="3"/>
      <c r="D147" s="17">
        <v>4</v>
      </c>
      <c r="E147" s="18" t="str">
        <f>VLOOKUP(D147,'[1]Tabla 15'!$B$15:$E$26,3,FALSE)</f>
        <v>D (No afiliados)</v>
      </c>
      <c r="F147" s="19">
        <f>CEILING(C144*1.4,100)</f>
        <v>15400</v>
      </c>
      <c r="G147" s="19">
        <f>+F147-C144</f>
        <v>4400</v>
      </c>
      <c r="H147" s="20">
        <f>IF(G147&gt;0,G147/C144,0%)</f>
        <v>0.4</v>
      </c>
      <c r="I147" s="21">
        <v>9000</v>
      </c>
      <c r="J147" s="20">
        <f>IF(G147&lt;=0,-G147/C144,0%)</f>
        <v>0</v>
      </c>
      <c r="K147" s="22">
        <f>IF(I147="NA","NA",IF(EXACT(I147,F147),0,(+F147-I147)/F147))</f>
        <v>0.41558441558441561</v>
      </c>
      <c r="L147" s="23">
        <v>3</v>
      </c>
      <c r="M147" s="24"/>
      <c r="N147" s="24"/>
      <c r="O147" s="14"/>
      <c r="P147" s="14"/>
      <c r="Q147" s="14"/>
      <c r="R147" s="27"/>
      <c r="S147" s="26"/>
    </row>
    <row r="148" spans="1:19" x14ac:dyDescent="0.25">
      <c r="A148" s="2" t="s">
        <v>13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9">
        <f>SUM(L144:L147)</f>
        <v>200</v>
      </c>
      <c r="M148" s="30"/>
      <c r="N148" s="30"/>
      <c r="O148" s="14"/>
      <c r="P148" s="14"/>
      <c r="Q148" s="14"/>
      <c r="R148" s="27"/>
      <c r="S148" s="26"/>
    </row>
    <row r="149" spans="1:19" x14ac:dyDescent="0.25">
      <c r="A149" s="66"/>
      <c r="B149" s="66"/>
      <c r="C149" s="66"/>
      <c r="D149" s="66"/>
      <c r="E149" s="66"/>
      <c r="F149" s="67"/>
      <c r="G149" s="67"/>
      <c r="H149" s="66"/>
      <c r="I149" s="58"/>
      <c r="J149" s="66"/>
      <c r="K149" s="68"/>
      <c r="L149" s="66"/>
      <c r="M149" s="69"/>
      <c r="N149" s="70"/>
      <c r="O149" s="14"/>
      <c r="P149" s="14"/>
      <c r="Q149" s="14"/>
      <c r="R149" s="14"/>
      <c r="S149" s="26"/>
    </row>
    <row r="150" spans="1:19" x14ac:dyDescent="0.25">
      <c r="A150" s="2" t="s">
        <v>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4"/>
      <c r="O150" s="14"/>
      <c r="P150" s="14"/>
      <c r="Q150" s="14"/>
      <c r="R150" s="14"/>
      <c r="S150" s="26"/>
    </row>
    <row r="151" spans="1:19" ht="60" x14ac:dyDescent="0.25">
      <c r="A151" s="5" t="s">
        <v>2</v>
      </c>
      <c r="B151" s="5" t="s">
        <v>3</v>
      </c>
      <c r="C151" s="5" t="s">
        <v>4</v>
      </c>
      <c r="D151" s="5" t="s">
        <v>5</v>
      </c>
      <c r="E151" s="5"/>
      <c r="F151" s="6" t="s">
        <v>6</v>
      </c>
      <c r="G151" s="6" t="s">
        <v>7</v>
      </c>
      <c r="H151" s="5" t="s">
        <v>8</v>
      </c>
      <c r="I151" s="7" t="s">
        <v>9</v>
      </c>
      <c r="J151" s="5" t="s">
        <v>10</v>
      </c>
      <c r="K151" s="8" t="s">
        <v>11</v>
      </c>
      <c r="L151" s="5" t="s">
        <v>12</v>
      </c>
      <c r="M151" s="9"/>
      <c r="N151" s="9"/>
      <c r="O151" s="14"/>
      <c r="P151" s="14"/>
      <c r="Q151" s="14"/>
      <c r="R151" s="14"/>
      <c r="S151" s="26"/>
    </row>
    <row r="152" spans="1:19" x14ac:dyDescent="0.25">
      <c r="A152" s="15" t="str">
        <f>'[1]Tabla 15'!B2</f>
        <v>Recreación</v>
      </c>
      <c r="B152" s="48" t="str">
        <f>'[1]RESUMEN SERVICIOS'!A18</f>
        <v>TALLERES RECREATIVOS</v>
      </c>
      <c r="C152" s="16">
        <f>+'[2]asiganción de ppto'!AN46</f>
        <v>55000</v>
      </c>
      <c r="D152" s="17">
        <v>1</v>
      </c>
      <c r="E152" s="18" t="str">
        <f>VLOOKUP(D152,'[1]Tabla 15'!$B$15:$E$26,3,FALSE)</f>
        <v>Afiliados y beneficiarios categoria A</v>
      </c>
      <c r="F152" s="19">
        <v>0</v>
      </c>
      <c r="G152" s="19">
        <f>+F152-C152</f>
        <v>-55000</v>
      </c>
      <c r="H152" s="20">
        <f>IF(G152&gt;0,G152/C152,0%)</f>
        <v>0</v>
      </c>
      <c r="I152" s="21" t="s">
        <v>14</v>
      </c>
      <c r="J152" s="20">
        <f>IF(G152&lt;=0,-G152/C152,0%)</f>
        <v>1</v>
      </c>
      <c r="K152" s="22" t="str">
        <f>IF(I152="NA","NA",IF(EXACT(I152,F152),0,(+F152-I152)/F152))</f>
        <v>NA</v>
      </c>
      <c r="L152" s="23">
        <v>115</v>
      </c>
      <c r="M152" s="24"/>
      <c r="N152" s="24"/>
      <c r="O152" s="14"/>
      <c r="P152" s="25"/>
      <c r="Q152" s="25"/>
      <c r="R152" s="14"/>
      <c r="S152" s="26"/>
    </row>
    <row r="153" spans="1:19" x14ac:dyDescent="0.25">
      <c r="A153" s="3"/>
      <c r="B153" s="49"/>
      <c r="C153" s="3"/>
      <c r="D153" s="17">
        <v>2</v>
      </c>
      <c r="E153" s="18" t="str">
        <f>VLOOKUP(D153,'[1]Tabla 15'!$B$15:$E$26,3,FALSE)</f>
        <v>Afiliados y beneficiarios categoria B</v>
      </c>
      <c r="F153" s="19">
        <v>0</v>
      </c>
      <c r="G153" s="19">
        <f>+F153-C152</f>
        <v>-55000</v>
      </c>
      <c r="H153" s="20">
        <f>IF(G153&gt;0,G153/C152,0%)</f>
        <v>0</v>
      </c>
      <c r="I153" s="21" t="s">
        <v>14</v>
      </c>
      <c r="J153" s="20">
        <f>IF(G153&lt;=0,-G153/C152,0%)</f>
        <v>1</v>
      </c>
      <c r="K153" s="22" t="str">
        <f>IF(I153="NA","NA",IF(EXACT(I153,F153),0,(+F153-I153)/F153))</f>
        <v>NA</v>
      </c>
      <c r="L153" s="23">
        <v>234</v>
      </c>
      <c r="M153" s="24"/>
      <c r="N153" s="24"/>
      <c r="O153" s="14"/>
      <c r="P153" s="14"/>
      <c r="Q153" s="14"/>
      <c r="R153" s="14"/>
      <c r="S153" s="26"/>
    </row>
    <row r="154" spans="1:19" x14ac:dyDescent="0.25">
      <c r="A154" s="3"/>
      <c r="B154" s="49"/>
      <c r="C154" s="3"/>
      <c r="D154" s="17">
        <v>3</v>
      </c>
      <c r="E154" s="18" t="str">
        <f>VLOOKUP(D154,'[1]Tabla 15'!$B$15:$E$26,3,FALSE)</f>
        <v>Representa el costo del servicio C</v>
      </c>
      <c r="F154" s="19">
        <f>C152</f>
        <v>55000</v>
      </c>
      <c r="G154" s="19">
        <f>+F154-C152</f>
        <v>0</v>
      </c>
      <c r="H154" s="20">
        <f>IF(G154&gt;0,G154/C152,0%)</f>
        <v>0</v>
      </c>
      <c r="I154" s="21">
        <v>8700</v>
      </c>
      <c r="J154" s="20">
        <f>IF(G154&lt;=0,-G154/C152,0%)</f>
        <v>0</v>
      </c>
      <c r="K154" s="22">
        <f>IF(I154="NA","NA",IF(EXACT(I154,F154),0,(+F154-I154)/F154))</f>
        <v>0.8418181818181818</v>
      </c>
      <c r="L154" s="23">
        <v>5</v>
      </c>
      <c r="M154" s="24"/>
      <c r="N154" s="24"/>
      <c r="O154" s="14"/>
      <c r="P154" s="14"/>
      <c r="Q154" s="14"/>
      <c r="R154" s="27"/>
      <c r="S154" s="26"/>
    </row>
    <row r="155" spans="1:19" x14ac:dyDescent="0.25">
      <c r="A155" s="3"/>
      <c r="B155" s="49"/>
      <c r="C155" s="3"/>
      <c r="D155" s="17">
        <v>4</v>
      </c>
      <c r="E155" s="18" t="str">
        <f>VLOOKUP(D155,'[1]Tabla 15'!$B$15:$E$26,3,FALSE)</f>
        <v>D (No afiliados)</v>
      </c>
      <c r="F155" s="19">
        <f>CEILING(C152*1.4,100)</f>
        <v>77000</v>
      </c>
      <c r="G155" s="19">
        <f>+F155-C152</f>
        <v>22000</v>
      </c>
      <c r="H155" s="20">
        <f>IF(G155&gt;0,G155/C152,0%)</f>
        <v>0.4</v>
      </c>
      <c r="I155" s="21">
        <v>12200</v>
      </c>
      <c r="J155" s="20">
        <f>IF(G155&lt;=0,-G155/C152,0%)</f>
        <v>0</v>
      </c>
      <c r="K155" s="22">
        <f>IF(I155="NA","NA",IF(EXACT(I155,F155),0,(+F155-I155)/F155))</f>
        <v>0.84155844155844151</v>
      </c>
      <c r="L155" s="23">
        <v>5</v>
      </c>
      <c r="M155" s="24"/>
      <c r="N155" s="24"/>
      <c r="O155" s="14"/>
      <c r="P155" s="14"/>
      <c r="Q155" s="14"/>
      <c r="R155" s="27"/>
      <c r="S155" s="26"/>
    </row>
    <row r="156" spans="1:19" x14ac:dyDescent="0.25">
      <c r="A156" s="2" t="s">
        <v>13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9">
        <f>SUM(L152:L155)</f>
        <v>359</v>
      </c>
      <c r="M156" s="30"/>
      <c r="N156" s="30"/>
      <c r="O156" s="14"/>
      <c r="P156" s="14"/>
      <c r="Q156" s="14"/>
      <c r="R156" s="14"/>
      <c r="S156" s="26"/>
    </row>
    <row r="157" spans="1:19" x14ac:dyDescent="0.25">
      <c r="A157" s="66"/>
      <c r="B157" s="66"/>
      <c r="C157" s="66"/>
      <c r="D157" s="66"/>
      <c r="E157" s="66"/>
      <c r="F157" s="67"/>
      <c r="G157" s="67"/>
      <c r="H157" s="66"/>
      <c r="I157" s="58"/>
      <c r="J157" s="66"/>
      <c r="K157" s="68"/>
      <c r="L157" s="66"/>
      <c r="M157" s="69"/>
      <c r="N157" s="70"/>
      <c r="O157" s="14"/>
      <c r="P157" s="14"/>
      <c r="Q157" s="14"/>
      <c r="R157" s="14"/>
      <c r="S157" s="26"/>
    </row>
    <row r="158" spans="1:19" x14ac:dyDescent="0.25">
      <c r="A158" s="2" t="s">
        <v>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14"/>
      <c r="P158" s="14"/>
      <c r="Q158" s="14"/>
      <c r="R158" s="14"/>
      <c r="S158" s="26"/>
    </row>
    <row r="159" spans="1:19" ht="60" x14ac:dyDescent="0.25">
      <c r="A159" s="5" t="s">
        <v>2</v>
      </c>
      <c r="B159" s="5" t="s">
        <v>3</v>
      </c>
      <c r="C159" s="5" t="s">
        <v>4</v>
      </c>
      <c r="D159" s="5" t="s">
        <v>5</v>
      </c>
      <c r="E159" s="5"/>
      <c r="F159" s="6" t="s">
        <v>6</v>
      </c>
      <c r="G159" s="6" t="s">
        <v>7</v>
      </c>
      <c r="H159" s="5" t="s">
        <v>8</v>
      </c>
      <c r="I159" s="6" t="s">
        <v>9</v>
      </c>
      <c r="J159" s="5" t="s">
        <v>10</v>
      </c>
      <c r="K159" s="8" t="s">
        <v>11</v>
      </c>
      <c r="L159" s="5" t="s">
        <v>12</v>
      </c>
      <c r="M159" s="9"/>
      <c r="N159" s="9"/>
      <c r="O159" s="14"/>
      <c r="P159" s="14"/>
      <c r="Q159" s="14"/>
      <c r="R159" s="14"/>
      <c r="S159" s="26"/>
    </row>
    <row r="160" spans="1:19" x14ac:dyDescent="0.25">
      <c r="A160" s="15" t="str">
        <f>'[1]Tabla 15'!B2</f>
        <v>Recreación</v>
      </c>
      <c r="B160" s="48" t="str">
        <f>'[1]RESUMEN SERVICIOS'!A19</f>
        <v>CURSOS RECREATIVOS</v>
      </c>
      <c r="C160" s="16">
        <f>+'[2]asiganción de ppto'!AP46</f>
        <v>72000</v>
      </c>
      <c r="D160" s="17">
        <v>1</v>
      </c>
      <c r="E160" s="18" t="str">
        <f>VLOOKUP(D160,'[1]Tabla 15'!$B$15:$E$26,3,FALSE)</f>
        <v>Afiliados y beneficiarios categoria A</v>
      </c>
      <c r="F160" s="19">
        <f>FLOOR(C160*14%,100)</f>
        <v>10000</v>
      </c>
      <c r="G160" s="19">
        <f>+F160-C160</f>
        <v>-62000</v>
      </c>
      <c r="H160" s="20">
        <f>IF(G160&gt;0,G160/C160,0%)</f>
        <v>0</v>
      </c>
      <c r="I160" s="21">
        <v>9900</v>
      </c>
      <c r="J160" s="20">
        <f>IF(G160&lt;=0,-G160/C160,0%)</f>
        <v>0.86111111111111116</v>
      </c>
      <c r="K160" s="22">
        <f>IF(I160="NA","NA",IF(EXACT(I160,F160),0,(+F160-I160)/F160))</f>
        <v>0.01</v>
      </c>
      <c r="L160" s="23">
        <v>270</v>
      </c>
      <c r="M160" s="24"/>
      <c r="N160" s="24"/>
      <c r="O160" s="27"/>
      <c r="P160" s="25"/>
      <c r="Q160" s="25"/>
      <c r="R160" s="14"/>
      <c r="S160" s="26"/>
    </row>
    <row r="161" spans="1:19" x14ac:dyDescent="0.25">
      <c r="A161" s="3"/>
      <c r="B161" s="49"/>
      <c r="C161" s="3"/>
      <c r="D161" s="17">
        <v>2</v>
      </c>
      <c r="E161" s="18" t="str">
        <f>VLOOKUP(D161,'[1]Tabla 15'!$B$15:$E$26,3,FALSE)</f>
        <v>Afiliados y beneficiarios categoria B</v>
      </c>
      <c r="F161" s="19">
        <f>FLOOR(C160*17%,100)</f>
        <v>12200</v>
      </c>
      <c r="G161" s="19">
        <f>+F161-C160</f>
        <v>-59800</v>
      </c>
      <c r="H161" s="20">
        <f>IF(G161&gt;0,G161/C160,0%)</f>
        <v>0</v>
      </c>
      <c r="I161" s="21">
        <v>12000</v>
      </c>
      <c r="J161" s="20">
        <f>IF(G161&lt;=0,-G161/C160,0%)</f>
        <v>0.8305555555555556</v>
      </c>
      <c r="K161" s="22">
        <f>IF(I161="NA","NA",IF(EXACT(I161,F161),0,(+F161-I161)/F161))</f>
        <v>1.6393442622950821E-2</v>
      </c>
      <c r="L161" s="23">
        <v>320</v>
      </c>
      <c r="M161" s="24"/>
      <c r="N161" s="24"/>
      <c r="O161" s="14"/>
      <c r="P161" s="14"/>
      <c r="Q161" s="14"/>
      <c r="R161" s="14"/>
      <c r="S161" s="26"/>
    </row>
    <row r="162" spans="1:19" x14ac:dyDescent="0.25">
      <c r="A162" s="3"/>
      <c r="B162" s="49"/>
      <c r="C162" s="3"/>
      <c r="D162" s="17">
        <v>3</v>
      </c>
      <c r="E162" s="18" t="str">
        <f>VLOOKUP(D162,'[1]Tabla 15'!$B$15:$E$26,3,FALSE)</f>
        <v>Representa el costo del servicio C</v>
      </c>
      <c r="F162" s="19">
        <f>C160</f>
        <v>72000</v>
      </c>
      <c r="G162" s="19">
        <f>+F162-C160</f>
        <v>0</v>
      </c>
      <c r="H162" s="20">
        <f>IF(G162&gt;0,G162/C160,0%)</f>
        <v>0</v>
      </c>
      <c r="I162" s="21">
        <v>70800</v>
      </c>
      <c r="J162" s="20">
        <f>IF(G162&lt;=0,-G162/C160,0%)</f>
        <v>0</v>
      </c>
      <c r="K162" s="22">
        <f>IF(I162="NA","NA",IF(EXACT(I162,F162),0,(+F162-I162)/F162))</f>
        <v>1.6666666666666666E-2</v>
      </c>
      <c r="L162" s="23">
        <v>3</v>
      </c>
      <c r="M162" s="24"/>
      <c r="N162" s="24"/>
      <c r="O162" s="14"/>
      <c r="P162" s="14"/>
      <c r="Q162" s="14"/>
      <c r="R162" s="27"/>
      <c r="S162" s="26"/>
    </row>
    <row r="163" spans="1:19" x14ac:dyDescent="0.25">
      <c r="A163" s="3"/>
      <c r="B163" s="49"/>
      <c r="C163" s="3"/>
      <c r="D163" s="17">
        <v>4</v>
      </c>
      <c r="E163" s="18" t="str">
        <f>VLOOKUP(D163,'[1]Tabla 15'!$B$15:$E$26,3,FALSE)</f>
        <v>D (No afiliados)</v>
      </c>
      <c r="F163" s="19">
        <f>CEILING(C160*1.25,100)</f>
        <v>90000</v>
      </c>
      <c r="G163" s="19">
        <f>+F163-C160</f>
        <v>18000</v>
      </c>
      <c r="H163" s="20">
        <f>IF(G163&gt;0,G163/C160,0%)</f>
        <v>0.25</v>
      </c>
      <c r="I163" s="21">
        <v>88500</v>
      </c>
      <c r="J163" s="20">
        <f>IF(G163&lt;=0,-G163/C160,0%)</f>
        <v>0</v>
      </c>
      <c r="K163" s="22">
        <f>IF(I163="NA","NA",IF(EXACT(I163,F163),0,(+F163-I163)/F163))</f>
        <v>1.6666666666666666E-2</v>
      </c>
      <c r="L163" s="23">
        <v>2</v>
      </c>
      <c r="M163" s="24"/>
      <c r="N163" s="24"/>
      <c r="O163" s="14"/>
      <c r="P163" s="14"/>
      <c r="Q163" s="14"/>
      <c r="R163" s="27"/>
      <c r="S163" s="26"/>
    </row>
    <row r="164" spans="1:19" x14ac:dyDescent="0.25">
      <c r="A164" s="2" t="s">
        <v>13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9">
        <f>SUM(L160:L163)</f>
        <v>595</v>
      </c>
      <c r="M164" s="30"/>
      <c r="N164" s="30"/>
      <c r="O164" s="14"/>
      <c r="P164" s="14"/>
      <c r="Q164" s="14"/>
      <c r="R164" s="14"/>
      <c r="S164" s="26"/>
    </row>
    <row r="165" spans="1:19" x14ac:dyDescent="0.25">
      <c r="A165" s="66"/>
      <c r="B165" s="66"/>
      <c r="C165" s="66"/>
      <c r="D165" s="66"/>
      <c r="E165" s="66"/>
      <c r="F165" s="67"/>
      <c r="G165" s="67"/>
      <c r="H165" s="66"/>
      <c r="I165" s="58"/>
      <c r="J165" s="66"/>
      <c r="K165" s="68"/>
      <c r="L165" s="66"/>
      <c r="M165" s="69"/>
      <c r="N165" s="70"/>
      <c r="O165" s="14"/>
      <c r="P165" s="14"/>
      <c r="Q165" s="14"/>
      <c r="R165" s="14"/>
      <c r="S165" s="26"/>
    </row>
    <row r="166" spans="1:19" x14ac:dyDescent="0.25">
      <c r="A166" s="2" t="s">
        <v>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4"/>
      <c r="O166" s="14"/>
      <c r="P166" s="14"/>
      <c r="Q166" s="14"/>
      <c r="R166" s="14"/>
      <c r="S166" s="26"/>
    </row>
    <row r="167" spans="1:19" ht="60" x14ac:dyDescent="0.25">
      <c r="A167" s="5" t="s">
        <v>2</v>
      </c>
      <c r="B167" s="5" t="s">
        <v>3</v>
      </c>
      <c r="C167" s="5" t="s">
        <v>4</v>
      </c>
      <c r="D167" s="5" t="s">
        <v>5</v>
      </c>
      <c r="E167" s="5"/>
      <c r="F167" s="6" t="s">
        <v>6</v>
      </c>
      <c r="G167" s="6" t="s">
        <v>7</v>
      </c>
      <c r="H167" s="5" t="s">
        <v>8</v>
      </c>
      <c r="I167" s="7" t="s">
        <v>9</v>
      </c>
      <c r="J167" s="5" t="s">
        <v>10</v>
      </c>
      <c r="K167" s="8" t="s">
        <v>11</v>
      </c>
      <c r="L167" s="5" t="s">
        <v>12</v>
      </c>
      <c r="M167" s="9"/>
      <c r="N167" s="9"/>
      <c r="O167" s="14"/>
      <c r="P167" s="14"/>
      <c r="Q167" s="14"/>
      <c r="R167" s="14"/>
      <c r="S167" s="26"/>
    </row>
    <row r="168" spans="1:19" x14ac:dyDescent="0.25">
      <c r="A168" s="15" t="str">
        <f>'[1]Tabla 15'!B5</f>
        <v>Recreación</v>
      </c>
      <c r="B168" s="48" t="str">
        <f>'[1]RESUMEN SERVICIOS'!A20</f>
        <v>ATENCIÓN AL AFILIADO</v>
      </c>
      <c r="C168" s="16">
        <f>+'[2]asiganción de ppto'!BP46</f>
        <v>75000</v>
      </c>
      <c r="D168" s="17">
        <v>1</v>
      </c>
      <c r="E168" s="18" t="str">
        <f>VLOOKUP(D168,'[1]Tabla 15'!$B$15:$E$26,3,FALSE)</f>
        <v>Afiliados y beneficiarios categoria A</v>
      </c>
      <c r="F168" s="19">
        <v>0</v>
      </c>
      <c r="G168" s="19">
        <f>+F168-C168</f>
        <v>-75000</v>
      </c>
      <c r="H168" s="20">
        <f>IF(G168&gt;0,G168/C168,0%)</f>
        <v>0</v>
      </c>
      <c r="I168" s="21">
        <v>3700</v>
      </c>
      <c r="J168" s="20">
        <f>IF(G168&lt;=0,-G168/C168,0%)</f>
        <v>1</v>
      </c>
      <c r="K168" s="22" t="e">
        <f>IF(I168="NA","NA",IF(EXACT(I168,F168),0,(+F168-I168)/F168))</f>
        <v>#DIV/0!</v>
      </c>
      <c r="L168" s="23">
        <v>839</v>
      </c>
      <c r="M168" s="24"/>
      <c r="N168" s="24"/>
      <c r="O168" s="14"/>
      <c r="P168" s="25"/>
      <c r="Q168" s="25"/>
      <c r="R168" s="14"/>
      <c r="S168" s="26"/>
    </row>
    <row r="169" spans="1:19" x14ac:dyDescent="0.25">
      <c r="A169" s="3"/>
      <c r="B169" s="49"/>
      <c r="C169" s="3"/>
      <c r="D169" s="17">
        <v>2</v>
      </c>
      <c r="E169" s="18" t="str">
        <f>VLOOKUP(D169,'[1]Tabla 15'!$B$15:$E$26,3,FALSE)</f>
        <v>Afiliados y beneficiarios categoria B</v>
      </c>
      <c r="F169" s="19">
        <v>0</v>
      </c>
      <c r="G169" s="19">
        <f>+F169-C168</f>
        <v>-75000</v>
      </c>
      <c r="H169" s="20">
        <f>IF(G169&gt;0,G169/C168,0%)</f>
        <v>0</v>
      </c>
      <c r="I169" s="21">
        <v>4400</v>
      </c>
      <c r="J169" s="20">
        <f>IF(G169&lt;=0,-G169/C168,0%)</f>
        <v>1</v>
      </c>
      <c r="K169" s="22" t="e">
        <f>IF(I169="NA","NA",IF(EXACT(I169,F169),0,(+F169-I169)/F169))</f>
        <v>#DIV/0!</v>
      </c>
      <c r="L169" s="23">
        <v>900</v>
      </c>
      <c r="M169" s="24"/>
      <c r="N169" s="24"/>
      <c r="O169" s="14"/>
      <c r="P169" s="14"/>
      <c r="Q169" s="14"/>
      <c r="R169" s="14"/>
      <c r="S169" s="26"/>
    </row>
    <row r="170" spans="1:19" x14ac:dyDescent="0.25">
      <c r="A170" s="3"/>
      <c r="B170" s="49"/>
      <c r="C170" s="3"/>
      <c r="D170" s="17">
        <v>3</v>
      </c>
      <c r="E170" s="18" t="str">
        <f>VLOOKUP(D170,'[1]Tabla 15'!$B$15:$E$26,3,FALSE)</f>
        <v>Representa el costo del servicio C</v>
      </c>
      <c r="F170" s="19">
        <f>C168</f>
        <v>75000</v>
      </c>
      <c r="G170" s="19">
        <f>+F170-C168</f>
        <v>0</v>
      </c>
      <c r="H170" s="20">
        <f>IF(G170&gt;0,G170/C168,0%)</f>
        <v>0</v>
      </c>
      <c r="I170" s="21">
        <v>34200</v>
      </c>
      <c r="J170" s="20">
        <f>IF(G170&lt;=0,-G170/C168,0%)</f>
        <v>0</v>
      </c>
      <c r="K170" s="22">
        <f>IF(I170="NA","NA",IF(EXACT(I170,F170),0,(+F170-I170)/F170))</f>
        <v>0.54400000000000004</v>
      </c>
      <c r="L170" s="23">
        <v>3</v>
      </c>
      <c r="M170" s="24"/>
      <c r="N170" s="24"/>
      <c r="O170" s="14"/>
      <c r="P170" s="14"/>
      <c r="Q170" s="14"/>
      <c r="R170" s="27"/>
      <c r="S170" s="26"/>
    </row>
    <row r="171" spans="1:19" x14ac:dyDescent="0.25">
      <c r="A171" s="3"/>
      <c r="B171" s="49"/>
      <c r="C171" s="3"/>
      <c r="D171" s="17">
        <v>4</v>
      </c>
      <c r="E171" s="18" t="str">
        <f>VLOOKUP(D171,'[1]Tabla 15'!$B$15:$E$26,3,FALSE)</f>
        <v>D (No afiliados)</v>
      </c>
      <c r="F171" s="19">
        <f>CEILING(C168*1.25,100)</f>
        <v>93800</v>
      </c>
      <c r="G171" s="19">
        <f>+F171-C168</f>
        <v>18800</v>
      </c>
      <c r="H171" s="20">
        <f>IF(G171&gt;0,G171/C168,0%)</f>
        <v>0.25066666666666665</v>
      </c>
      <c r="I171" s="21">
        <v>42800</v>
      </c>
      <c r="J171" s="20">
        <f>IF(G171&lt;=0,-G171/C168,0%)</f>
        <v>0</v>
      </c>
      <c r="K171" s="22">
        <f>IF(I171="NA","NA",IF(EXACT(I171,F171),0,(+F171-I171)/F171))</f>
        <v>0.54371002132196167</v>
      </c>
      <c r="L171" s="23">
        <v>3</v>
      </c>
      <c r="M171" s="24"/>
      <c r="N171" s="24"/>
      <c r="O171" s="14"/>
      <c r="P171" s="14"/>
      <c r="Q171" s="14"/>
      <c r="R171" s="27"/>
      <c r="S171" s="26"/>
    </row>
    <row r="172" spans="1:19" x14ac:dyDescent="0.25">
      <c r="A172" s="2" t="s">
        <v>13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9">
        <f>SUM(L168:L171)</f>
        <v>1745</v>
      </c>
      <c r="M172" s="30"/>
      <c r="N172" s="30"/>
      <c r="O172" s="14"/>
      <c r="P172" s="14"/>
      <c r="Q172" s="14"/>
      <c r="R172" s="14"/>
      <c r="S172" s="26"/>
    </row>
    <row r="173" spans="1:19" x14ac:dyDescent="0.25">
      <c r="A173" s="66"/>
      <c r="B173" s="66"/>
      <c r="C173" s="66"/>
      <c r="D173" s="66"/>
      <c r="E173" s="66"/>
      <c r="F173" s="58"/>
      <c r="G173" s="67"/>
      <c r="H173" s="66"/>
      <c r="I173" s="58"/>
      <c r="J173" s="66"/>
      <c r="K173" s="68"/>
      <c r="L173" s="66"/>
      <c r="M173" s="69"/>
      <c r="N173" s="70"/>
      <c r="O173" s="14"/>
      <c r="P173" s="14"/>
      <c r="Q173" s="14"/>
      <c r="R173" s="14"/>
      <c r="S173" s="26"/>
    </row>
    <row r="174" spans="1:19" x14ac:dyDescent="0.25">
      <c r="A174" s="2" t="s">
        <v>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4"/>
      <c r="O174" s="14"/>
      <c r="P174" s="14"/>
      <c r="Q174" s="14"/>
      <c r="R174" s="14"/>
      <c r="S174" s="26"/>
    </row>
    <row r="175" spans="1:19" ht="60" x14ac:dyDescent="0.25">
      <c r="A175" s="5" t="s">
        <v>2</v>
      </c>
      <c r="B175" s="5" t="s">
        <v>3</v>
      </c>
      <c r="C175" s="5" t="s">
        <v>4</v>
      </c>
      <c r="D175" s="5" t="s">
        <v>5</v>
      </c>
      <c r="E175" s="5"/>
      <c r="F175" s="6" t="s">
        <v>6</v>
      </c>
      <c r="G175" s="6" t="s">
        <v>7</v>
      </c>
      <c r="H175" s="5" t="s">
        <v>8</v>
      </c>
      <c r="I175" s="7" t="s">
        <v>9</v>
      </c>
      <c r="J175" s="5" t="s">
        <v>10</v>
      </c>
      <c r="K175" s="8" t="s">
        <v>11</v>
      </c>
      <c r="L175" s="5" t="s">
        <v>12</v>
      </c>
      <c r="M175" s="9"/>
      <c r="N175" s="9"/>
      <c r="O175" s="14"/>
      <c r="P175" s="14"/>
      <c r="Q175" s="14"/>
      <c r="R175" s="14"/>
      <c r="S175" s="26"/>
    </row>
    <row r="176" spans="1:19" x14ac:dyDescent="0.25">
      <c r="A176" s="15" t="str">
        <f>'[1]Tabla 15'!B5</f>
        <v>Recreación</v>
      </c>
      <c r="B176" s="48" t="str">
        <f>'[1]RESUMEN SERVICIOS'!A21</f>
        <v>EVENTOS ESPECIALES</v>
      </c>
      <c r="C176" s="16">
        <f>+'[2]asiganción de ppto'!AT46</f>
        <v>55000</v>
      </c>
      <c r="D176" s="17">
        <v>1</v>
      </c>
      <c r="E176" s="18" t="str">
        <f>VLOOKUP(D176,'[1]Tabla 15'!$B$15:$E$26,3,FALSE)</f>
        <v>Afiliados y beneficiarios categoria A</v>
      </c>
      <c r="F176" s="19">
        <f>C176*20%</f>
        <v>11000</v>
      </c>
      <c r="G176" s="19">
        <f>+F176-C176</f>
        <v>-44000</v>
      </c>
      <c r="H176" s="20">
        <f>IF(G176&gt;0,G176/C176,0%)</f>
        <v>0</v>
      </c>
      <c r="I176" s="21" t="s">
        <v>14</v>
      </c>
      <c r="J176" s="20">
        <f>IF(G176&lt;=0,-G176/C176,0%)</f>
        <v>0.8</v>
      </c>
      <c r="K176" s="22" t="str">
        <f>IF(I176="NA","NA",(+F176-I176)/F176)</f>
        <v>NA</v>
      </c>
      <c r="L176" s="23">
        <v>174</v>
      </c>
      <c r="M176" s="24"/>
      <c r="N176" s="24"/>
      <c r="O176" s="72"/>
      <c r="P176" s="65"/>
      <c r="Q176" s="65"/>
      <c r="R176" s="14"/>
      <c r="S176" s="26"/>
    </row>
    <row r="177" spans="1:19" x14ac:dyDescent="0.25">
      <c r="A177" s="3"/>
      <c r="B177" s="49"/>
      <c r="C177" s="3"/>
      <c r="D177" s="17">
        <v>2</v>
      </c>
      <c r="E177" s="18" t="str">
        <f>VLOOKUP(D177,'[1]Tabla 15'!$B$15:$E$26,3,FALSE)</f>
        <v>Afiliados y beneficiarios categoria B</v>
      </c>
      <c r="F177" s="19">
        <f>C176*20%</f>
        <v>11000</v>
      </c>
      <c r="G177" s="19">
        <f>+F177-C176</f>
        <v>-44000</v>
      </c>
      <c r="H177" s="20">
        <f>IF(G177&gt;0,G177/C176,0%)</f>
        <v>0</v>
      </c>
      <c r="I177" s="21" t="s">
        <v>14</v>
      </c>
      <c r="J177" s="20">
        <f>IF(G177&lt;=0,-G177/C176,0%)</f>
        <v>0.8</v>
      </c>
      <c r="K177" s="22" t="str">
        <f>IF(I177="NA","NA",(+F177-I177)/F177)</f>
        <v>NA</v>
      </c>
      <c r="L177" s="23">
        <v>180</v>
      </c>
      <c r="M177" s="24"/>
      <c r="N177" s="24"/>
      <c r="O177" s="73"/>
      <c r="P177" s="14"/>
      <c r="Q177" s="14"/>
      <c r="R177" s="14"/>
      <c r="S177" s="26"/>
    </row>
    <row r="178" spans="1:19" x14ac:dyDescent="0.25">
      <c r="A178" s="3"/>
      <c r="B178" s="49"/>
      <c r="C178" s="3"/>
      <c r="D178" s="17">
        <v>3</v>
      </c>
      <c r="E178" s="18" t="str">
        <f>VLOOKUP(D178,'[1]Tabla 15'!$B$15:$E$26,3,FALSE)</f>
        <v>Representa el costo del servicio C</v>
      </c>
      <c r="F178" s="19">
        <f>C176</f>
        <v>55000</v>
      </c>
      <c r="G178" s="19">
        <f>+F178-C176</f>
        <v>0</v>
      </c>
      <c r="H178" s="20">
        <f>IF(G178&gt;0,G178/C176,0%)</f>
        <v>0</v>
      </c>
      <c r="I178" s="21">
        <v>53000</v>
      </c>
      <c r="J178" s="20">
        <f>IF(G178&lt;=0,-G178/C176,0%)</f>
        <v>0</v>
      </c>
      <c r="K178" s="22">
        <f>IF(I178="NA","NA",(+F178-I178)/F178)</f>
        <v>3.6363636363636362E-2</v>
      </c>
      <c r="L178" s="23">
        <v>2</v>
      </c>
      <c r="M178" s="24"/>
      <c r="N178" s="24"/>
      <c r="O178" s="73"/>
      <c r="P178" s="14"/>
      <c r="Q178" s="14"/>
      <c r="R178" s="14"/>
      <c r="S178" s="26"/>
    </row>
    <row r="179" spans="1:19" x14ac:dyDescent="0.25">
      <c r="A179" s="3"/>
      <c r="B179" s="49"/>
      <c r="C179" s="3"/>
      <c r="D179" s="17">
        <v>4</v>
      </c>
      <c r="E179" s="18" t="str">
        <f>VLOOKUP(D179,'[1]Tabla 15'!$B$15:$E$26,3,FALSE)</f>
        <v>D (No afiliados)</v>
      </c>
      <c r="F179" s="19">
        <f>CEILING(C176*1.2,100)</f>
        <v>66000</v>
      </c>
      <c r="G179" s="19">
        <f>+F179-C176</f>
        <v>11000</v>
      </c>
      <c r="H179" s="20">
        <f>IF(G179&gt;0,G179/C176,0%)</f>
        <v>0.2</v>
      </c>
      <c r="I179" s="21">
        <v>63600</v>
      </c>
      <c r="J179" s="20">
        <f>IF(G179&lt;=0,-G179/C176,0%)</f>
        <v>0</v>
      </c>
      <c r="K179" s="22">
        <f>IF(I179="NA","NA",(+F179-I179)/F179)</f>
        <v>3.6363636363636362E-2</v>
      </c>
      <c r="L179" s="23">
        <v>3</v>
      </c>
      <c r="M179" s="24"/>
      <c r="N179" s="24"/>
      <c r="O179" s="73"/>
      <c r="P179" s="14"/>
      <c r="Q179" s="14"/>
      <c r="R179" s="27"/>
      <c r="S179" s="26"/>
    </row>
    <row r="180" spans="1:19" x14ac:dyDescent="0.25">
      <c r="A180" s="2" t="s">
        <v>13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9">
        <f>SUM(L176:L179)</f>
        <v>359</v>
      </c>
      <c r="M180" s="30"/>
      <c r="N180" s="30"/>
      <c r="O180" s="14"/>
      <c r="P180" s="14"/>
      <c r="Q180" s="14"/>
      <c r="R180" s="27"/>
      <c r="S180" s="26"/>
    </row>
    <row r="181" spans="1:19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66"/>
      <c r="M181" s="69"/>
      <c r="N181" s="70"/>
      <c r="O181" s="14"/>
      <c r="P181" s="14"/>
      <c r="Q181" s="14"/>
      <c r="R181" s="14"/>
      <c r="S181" s="26"/>
    </row>
    <row r="182" spans="1:19" x14ac:dyDescent="0.25">
      <c r="A182" s="2" t="s">
        <v>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4"/>
      <c r="O182" s="14"/>
      <c r="P182" s="14"/>
      <c r="Q182" s="14"/>
      <c r="R182" s="14"/>
      <c r="S182" s="26"/>
    </row>
    <row r="183" spans="1:19" ht="60" x14ac:dyDescent="0.25">
      <c r="A183" s="5" t="s">
        <v>2</v>
      </c>
      <c r="B183" s="5" t="s">
        <v>3</v>
      </c>
      <c r="C183" s="5" t="s">
        <v>4</v>
      </c>
      <c r="D183" s="5" t="s">
        <v>5</v>
      </c>
      <c r="E183" s="5"/>
      <c r="F183" s="6" t="s">
        <v>16</v>
      </c>
      <c r="G183" s="6" t="s">
        <v>7</v>
      </c>
      <c r="H183" s="5" t="s">
        <v>8</v>
      </c>
      <c r="I183" s="7" t="s">
        <v>9</v>
      </c>
      <c r="J183" s="5" t="s">
        <v>10</v>
      </c>
      <c r="K183" s="8" t="s">
        <v>11</v>
      </c>
      <c r="L183" s="5" t="s">
        <v>12</v>
      </c>
      <c r="M183" s="9"/>
      <c r="N183" s="9"/>
      <c r="O183" s="14"/>
      <c r="P183" s="14"/>
      <c r="Q183" s="14"/>
      <c r="R183" s="14"/>
      <c r="S183" s="26"/>
    </row>
    <row r="184" spans="1:19" x14ac:dyDescent="0.25">
      <c r="A184" s="15" t="str">
        <f>'[1]Tabla 15'!B5</f>
        <v>Recreación</v>
      </c>
      <c r="B184" s="48" t="str">
        <f>'[1]RESUMEN SERVICIOS'!A22</f>
        <v>PASE JUEGOS/CONCURSOS</v>
      </c>
      <c r="C184" s="16">
        <f>+'[2]asiganción de ppto'!AX46</f>
        <v>19000</v>
      </c>
      <c r="D184" s="17">
        <v>1</v>
      </c>
      <c r="E184" s="18" t="str">
        <f>VLOOKUP(D184,'[1]Tabla 15'!$B$15:$E$26,3,FALSE)</f>
        <v>Afiliados y beneficiarios categoria A</v>
      </c>
      <c r="F184" s="19">
        <v>0</v>
      </c>
      <c r="G184" s="19">
        <f>+F184-C184</f>
        <v>-19000</v>
      </c>
      <c r="H184" s="20">
        <f>IF(G184&gt;0,G184/C184,0%)</f>
        <v>0</v>
      </c>
      <c r="I184" s="21" t="s">
        <v>14</v>
      </c>
      <c r="J184" s="20">
        <f>IF(G184&lt;=0,-G184/C184,0%)</f>
        <v>1</v>
      </c>
      <c r="K184" s="22" t="str">
        <f>IF(I184="NA","NA",(+F184-I184)/F184)</f>
        <v>NA</v>
      </c>
      <c r="L184" s="23">
        <v>939</v>
      </c>
      <c r="M184" s="24"/>
      <c r="N184" s="24"/>
      <c r="O184" s="14"/>
      <c r="P184" s="25"/>
      <c r="Q184" s="25"/>
      <c r="R184" s="14"/>
      <c r="S184" s="26"/>
    </row>
    <row r="185" spans="1:19" x14ac:dyDescent="0.25">
      <c r="A185" s="3"/>
      <c r="B185" s="49"/>
      <c r="C185" s="3"/>
      <c r="D185" s="17">
        <v>2</v>
      </c>
      <c r="E185" s="18" t="str">
        <f>VLOOKUP(D185,'[1]Tabla 15'!$B$15:$E$26,3,FALSE)</f>
        <v>Afiliados y beneficiarios categoria B</v>
      </c>
      <c r="F185" s="19">
        <v>0</v>
      </c>
      <c r="G185" s="19">
        <f>+F185-C184</f>
        <v>-19000</v>
      </c>
      <c r="H185" s="20">
        <f>IF(G185&gt;0,G185/C184,0%)</f>
        <v>0</v>
      </c>
      <c r="I185" s="21" t="s">
        <v>14</v>
      </c>
      <c r="J185" s="20">
        <f>IF(G185&lt;=0,-G185/C184,0%)</f>
        <v>1</v>
      </c>
      <c r="K185" s="22" t="str">
        <f>IF(I185="NA","NA",(+F185-I185)/F185)</f>
        <v>NA</v>
      </c>
      <c r="L185" s="23">
        <v>1200</v>
      </c>
      <c r="M185" s="24"/>
      <c r="N185" s="24"/>
      <c r="O185" s="14"/>
      <c r="P185" s="14"/>
      <c r="Q185" s="14"/>
      <c r="R185" s="14"/>
      <c r="S185" s="26"/>
    </row>
    <row r="186" spans="1:19" x14ac:dyDescent="0.25">
      <c r="A186" s="3"/>
      <c r="B186" s="49"/>
      <c r="C186" s="3"/>
      <c r="D186" s="17">
        <v>3</v>
      </c>
      <c r="E186" s="18" t="str">
        <f>VLOOKUP(D186,'[1]Tabla 15'!$B$15:$E$26,3,FALSE)</f>
        <v>Representa el costo del servicio C</v>
      </c>
      <c r="F186" s="19">
        <f>C184</f>
        <v>19000</v>
      </c>
      <c r="G186" s="19">
        <f>+F186-C184</f>
        <v>0</v>
      </c>
      <c r="H186" s="20">
        <f>IF(G186&gt;0,G186/C184,0%)</f>
        <v>0</v>
      </c>
      <c r="I186" s="21">
        <v>6000</v>
      </c>
      <c r="J186" s="20">
        <f>IF(G186&lt;=0,-G186/C184,0%)</f>
        <v>0</v>
      </c>
      <c r="K186" s="22">
        <f>IF(I186="NA","NA",(+F186-I186)/F186)</f>
        <v>0.68421052631578949</v>
      </c>
      <c r="L186" s="23">
        <v>2</v>
      </c>
      <c r="M186" s="24"/>
      <c r="N186" s="24"/>
      <c r="O186" s="14"/>
      <c r="P186" s="14"/>
      <c r="Q186" s="14"/>
      <c r="R186" s="27"/>
      <c r="S186" s="26"/>
    </row>
    <row r="187" spans="1:19" x14ac:dyDescent="0.25">
      <c r="A187" s="3"/>
      <c r="B187" s="49"/>
      <c r="C187" s="3"/>
      <c r="D187" s="17">
        <v>4</v>
      </c>
      <c r="E187" s="18" t="str">
        <f>VLOOKUP(D187,'[1]Tabla 15'!$B$15:$E$26,3,FALSE)</f>
        <v>D (No afiliados)</v>
      </c>
      <c r="F187" s="19">
        <f>CEILING(C184*1.2,100)</f>
        <v>22800</v>
      </c>
      <c r="G187" s="19">
        <f>+F187-C184</f>
        <v>3800</v>
      </c>
      <c r="H187" s="20">
        <f>IF(G187&gt;0,G187/C184,0%)</f>
        <v>0.2</v>
      </c>
      <c r="I187" s="21">
        <v>7200</v>
      </c>
      <c r="J187" s="20">
        <f>IF(G187&lt;=0,-G187/C184,0%)</f>
        <v>0</v>
      </c>
      <c r="K187" s="22">
        <f>IF(I187="NA","NA",(+F187-I187)/F187)</f>
        <v>0.68421052631578949</v>
      </c>
      <c r="L187" s="23">
        <v>2</v>
      </c>
      <c r="M187" s="24"/>
      <c r="N187" s="24"/>
      <c r="O187" s="14"/>
      <c r="P187" s="14"/>
      <c r="Q187" s="14"/>
      <c r="R187" s="27"/>
      <c r="S187" s="26"/>
    </row>
    <row r="188" spans="1:19" x14ac:dyDescent="0.25">
      <c r="A188" s="2" t="s">
        <v>13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9">
        <f>SUM(L184:L187)</f>
        <v>2143</v>
      </c>
      <c r="M188" s="30"/>
      <c r="N188" s="30"/>
      <c r="O188" s="14"/>
      <c r="P188" s="14"/>
      <c r="Q188" s="14"/>
      <c r="R188" s="14"/>
      <c r="S188" s="26"/>
    </row>
    <row r="189" spans="1:19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5"/>
      <c r="N189" s="70"/>
      <c r="O189" s="14"/>
      <c r="P189" s="14"/>
      <c r="Q189" s="14"/>
      <c r="R189" s="14"/>
      <c r="S189" s="26"/>
    </row>
    <row r="190" spans="1:19" x14ac:dyDescent="0.25">
      <c r="A190" s="2" t="s">
        <v>1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4"/>
      <c r="N190" s="4"/>
      <c r="O190" s="14"/>
      <c r="P190" s="14"/>
      <c r="Q190" s="14"/>
      <c r="R190" s="14"/>
      <c r="S190" s="26"/>
    </row>
    <row r="191" spans="1:19" ht="60" x14ac:dyDescent="0.25">
      <c r="A191" s="5" t="s">
        <v>2</v>
      </c>
      <c r="B191" s="5" t="s">
        <v>3</v>
      </c>
      <c r="C191" s="5" t="s">
        <v>4</v>
      </c>
      <c r="D191" s="5" t="s">
        <v>5</v>
      </c>
      <c r="E191" s="5"/>
      <c r="F191" s="6" t="s">
        <v>6</v>
      </c>
      <c r="G191" s="6" t="s">
        <v>7</v>
      </c>
      <c r="H191" s="5" t="s">
        <v>8</v>
      </c>
      <c r="I191" s="7" t="s">
        <v>9</v>
      </c>
      <c r="J191" s="5" t="s">
        <v>10</v>
      </c>
      <c r="K191" s="8" t="s">
        <v>11</v>
      </c>
      <c r="L191" s="5" t="s">
        <v>12</v>
      </c>
      <c r="M191" s="9"/>
      <c r="N191" s="9"/>
      <c r="O191" s="14"/>
      <c r="P191" s="14"/>
      <c r="Q191" s="14"/>
      <c r="R191" s="14"/>
      <c r="S191" s="26"/>
    </row>
    <row r="192" spans="1:19" x14ac:dyDescent="0.25">
      <c r="A192" s="15" t="str">
        <f>'[1]Tabla 15'!B4</f>
        <v>Recreación</v>
      </c>
      <c r="B192" s="48" t="str">
        <f>'[1]RESUMEN SERVICIOS'!A23</f>
        <v>OLIMPIADAS Y CAMPEONATOS</v>
      </c>
      <c r="C192" s="16">
        <f>+'[2]asiganción de ppto'!AV46</f>
        <v>74000</v>
      </c>
      <c r="D192" s="17">
        <v>1</v>
      </c>
      <c r="E192" s="18" t="str">
        <f>VLOOKUP(D192,'[1]Tabla 15'!$B$15:$E$26,3,FALSE)</f>
        <v>Afiliados y beneficiarios categoria A</v>
      </c>
      <c r="F192" s="19">
        <f>FLOOR(C192*10%,100)</f>
        <v>7400</v>
      </c>
      <c r="G192" s="19">
        <f>+F192-C192</f>
        <v>-66600</v>
      </c>
      <c r="H192" s="20">
        <f>IF(G192&gt;0,G192/C192,0%)</f>
        <v>0</v>
      </c>
      <c r="I192" s="21">
        <v>2200</v>
      </c>
      <c r="J192" s="20">
        <f>IF(G192&lt;=0,-G192/C192,0%)</f>
        <v>0.9</v>
      </c>
      <c r="K192" s="22">
        <f>IF(I192="NA","NA",(+F192-I192)/F192)</f>
        <v>0.70270270270270274</v>
      </c>
      <c r="L192" s="23">
        <v>136</v>
      </c>
      <c r="M192" s="24"/>
      <c r="N192" s="24"/>
      <c r="O192" s="27"/>
      <c r="P192" s="65"/>
      <c r="Q192" s="65"/>
      <c r="R192" s="14"/>
      <c r="S192" s="26"/>
    </row>
    <row r="193" spans="1:19" x14ac:dyDescent="0.25">
      <c r="A193" s="3"/>
      <c r="B193" s="49"/>
      <c r="C193" s="3"/>
      <c r="D193" s="17">
        <v>2</v>
      </c>
      <c r="E193" s="18" t="str">
        <f>VLOOKUP(D193,'[1]Tabla 15'!$B$15:$E$26,3,FALSE)</f>
        <v>Afiliados y beneficiarios categoria B</v>
      </c>
      <c r="F193" s="19">
        <f>FLOOR(C192*10%,100)</f>
        <v>7400</v>
      </c>
      <c r="G193" s="19">
        <f>+F193-C192</f>
        <v>-66600</v>
      </c>
      <c r="H193" s="20">
        <f>IF(G193&gt;0,G193/C192,0%)</f>
        <v>0</v>
      </c>
      <c r="I193" s="21">
        <v>2200</v>
      </c>
      <c r="J193" s="20">
        <f>IF(G193&lt;=0,-G193/C192,0%)</f>
        <v>0.9</v>
      </c>
      <c r="K193" s="22">
        <f>IF(I193="NA","NA",(+F193-I193)/F193)</f>
        <v>0.70270270270270274</v>
      </c>
      <c r="L193" s="23">
        <v>150</v>
      </c>
      <c r="M193" s="24"/>
      <c r="N193" s="24"/>
      <c r="O193" s="14"/>
      <c r="P193" s="14"/>
      <c r="Q193" s="14"/>
      <c r="R193" s="14"/>
      <c r="S193" s="26"/>
    </row>
    <row r="194" spans="1:19" x14ac:dyDescent="0.25">
      <c r="A194" s="3"/>
      <c r="B194" s="49"/>
      <c r="C194" s="3"/>
      <c r="D194" s="17">
        <v>3</v>
      </c>
      <c r="E194" s="18" t="str">
        <f>VLOOKUP(D194,'[1]Tabla 15'!$B$15:$E$26,3,FALSE)</f>
        <v>Representa el costo del servicio C</v>
      </c>
      <c r="F194" s="19">
        <f>C192</f>
        <v>74000</v>
      </c>
      <c r="G194" s="19">
        <f>+F194-C192</f>
        <v>0</v>
      </c>
      <c r="H194" s="20">
        <f>IF(G194&gt;0,G194/C192,0%)</f>
        <v>0</v>
      </c>
      <c r="I194" s="21">
        <v>22000</v>
      </c>
      <c r="J194" s="20">
        <f>IF(G194&lt;=0,-G194/C192,0%)</f>
        <v>0</v>
      </c>
      <c r="K194" s="22">
        <f>IF(I194="NA","NA",(+F194-I194)/F194)</f>
        <v>0.70270270270270274</v>
      </c>
      <c r="L194" s="23">
        <v>2</v>
      </c>
      <c r="M194" s="24"/>
      <c r="N194" s="24"/>
      <c r="O194" s="14"/>
      <c r="P194" s="14"/>
      <c r="Q194" s="14"/>
      <c r="R194" s="14"/>
      <c r="S194" s="26"/>
    </row>
    <row r="195" spans="1:19" x14ac:dyDescent="0.25">
      <c r="A195" s="3"/>
      <c r="B195" s="49"/>
      <c r="C195" s="3"/>
      <c r="D195" s="17">
        <v>4</v>
      </c>
      <c r="E195" s="18" t="str">
        <f>VLOOKUP(D195,'[1]Tabla 15'!$B$15:$E$26,3,FALSE)</f>
        <v>D (No afiliados)</v>
      </c>
      <c r="F195" s="19">
        <f>CEILING(C192*1.2,100)</f>
        <v>88800</v>
      </c>
      <c r="G195" s="19">
        <f>+F195-C192</f>
        <v>14800</v>
      </c>
      <c r="H195" s="20">
        <f>IF(G195&gt;0,G195/C192,0%)</f>
        <v>0.2</v>
      </c>
      <c r="I195" s="21">
        <v>26400</v>
      </c>
      <c r="J195" s="20">
        <f>IF(G195&lt;=0,-G195/C192,0%)</f>
        <v>0</v>
      </c>
      <c r="K195" s="22">
        <f>IF(I195="NA","NA",(+F195-I195)/F195)</f>
        <v>0.70270270270270274</v>
      </c>
      <c r="L195" s="23">
        <v>3</v>
      </c>
      <c r="M195" s="24"/>
      <c r="N195" s="24"/>
      <c r="O195" s="14"/>
      <c r="P195" s="14"/>
      <c r="Q195" s="14"/>
      <c r="R195" s="27"/>
      <c r="S195" s="26"/>
    </row>
    <row r="196" spans="1:19" x14ac:dyDescent="0.25">
      <c r="A196" s="2" t="s">
        <v>13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9">
        <f>SUM(L192:L195)</f>
        <v>291</v>
      </c>
      <c r="M196" s="30"/>
      <c r="N196" s="30"/>
      <c r="O196" s="14"/>
      <c r="P196" s="14"/>
      <c r="Q196" s="14"/>
      <c r="R196" s="27"/>
      <c r="S196" s="26"/>
    </row>
    <row r="197" spans="1:19" x14ac:dyDescent="0.25">
      <c r="A197" s="66"/>
      <c r="B197" s="66"/>
      <c r="C197" s="66"/>
      <c r="D197" s="66"/>
      <c r="E197" s="66"/>
      <c r="F197" s="67"/>
      <c r="G197" s="67"/>
      <c r="H197" s="66"/>
      <c r="I197" s="58"/>
      <c r="J197" s="66"/>
      <c r="K197" s="68"/>
      <c r="L197" s="66"/>
      <c r="M197" s="69"/>
      <c r="N197" s="70"/>
      <c r="O197" s="14"/>
      <c r="P197" s="14"/>
      <c r="Q197" s="14"/>
      <c r="R197" s="14"/>
      <c r="S197" s="26"/>
    </row>
    <row r="198" spans="1:19" x14ac:dyDescent="0.25">
      <c r="A198" s="66"/>
      <c r="B198" s="66"/>
      <c r="C198" s="66"/>
      <c r="D198" s="66"/>
      <c r="E198" s="66"/>
      <c r="F198" s="67"/>
      <c r="G198" s="67"/>
      <c r="H198" s="66"/>
      <c r="I198" s="58"/>
      <c r="J198" s="66"/>
      <c r="K198" s="68"/>
      <c r="L198" s="66"/>
      <c r="M198" s="69"/>
      <c r="N198" s="70"/>
      <c r="O198" s="14"/>
      <c r="P198" s="14"/>
      <c r="Q198" s="14"/>
      <c r="R198" s="14"/>
      <c r="S198" s="26"/>
    </row>
    <row r="199" spans="1:19" x14ac:dyDescent="0.25">
      <c r="A199" s="2" t="s">
        <v>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4"/>
      <c r="O199" s="14"/>
      <c r="P199" s="14"/>
      <c r="Q199" s="14"/>
      <c r="R199" s="14"/>
      <c r="S199" s="26"/>
    </row>
    <row r="200" spans="1:19" ht="60" x14ac:dyDescent="0.25">
      <c r="A200" s="76" t="s">
        <v>2</v>
      </c>
      <c r="B200" s="76" t="s">
        <v>3</v>
      </c>
      <c r="C200" s="76" t="s">
        <v>4</v>
      </c>
      <c r="D200" s="76" t="s">
        <v>5</v>
      </c>
      <c r="E200" s="76"/>
      <c r="F200" s="7" t="s">
        <v>6</v>
      </c>
      <c r="G200" s="7" t="s">
        <v>7</v>
      </c>
      <c r="H200" s="76" t="s">
        <v>8</v>
      </c>
      <c r="I200" s="7" t="s">
        <v>9</v>
      </c>
      <c r="J200" s="76" t="s">
        <v>10</v>
      </c>
      <c r="K200" s="77" t="s">
        <v>11</v>
      </c>
      <c r="L200" s="76" t="s">
        <v>12</v>
      </c>
      <c r="M200" s="78"/>
      <c r="N200" s="78"/>
      <c r="O200" s="14"/>
      <c r="P200" s="14"/>
      <c r="Q200" s="14"/>
      <c r="R200" s="14"/>
      <c r="S200" s="26"/>
    </row>
    <row r="201" spans="1:19" x14ac:dyDescent="0.25">
      <c r="A201" s="48" t="str">
        <f>'[1]Tabla 15'!B6</f>
        <v>Recreación</v>
      </c>
      <c r="B201" s="48" t="str">
        <f>'[1]RESUMEN SERVICIOS'!A25</f>
        <v>CELEBRACIÓN PLAN ESPECIAL</v>
      </c>
      <c r="C201" s="79">
        <f>+'[2]asiganción de ppto'!BB46</f>
        <v>251000</v>
      </c>
      <c r="D201" s="80">
        <v>1</v>
      </c>
      <c r="E201" s="62" t="str">
        <f>VLOOKUP(D201,'[1]Tabla 15'!$B$15:$E$26,3,FALSE)</f>
        <v>Afiliados y beneficiarios categoria A</v>
      </c>
      <c r="F201" s="21">
        <f>C201*20%</f>
        <v>50200</v>
      </c>
      <c r="G201" s="21">
        <f>+F201-C201</f>
        <v>-200800</v>
      </c>
      <c r="H201" s="63">
        <f>IF(G201&gt;0,G201/C201,0%)</f>
        <v>0</v>
      </c>
      <c r="I201" s="21">
        <v>247700</v>
      </c>
      <c r="J201" s="63">
        <f>IF(G201&lt;=0,-G201/C201,0%)</f>
        <v>0.8</v>
      </c>
      <c r="K201" s="64">
        <f>IF(I201="NA","NA",(+F201-I201)/F201)</f>
        <v>-3.9342629482071714</v>
      </c>
      <c r="L201" s="81">
        <v>150</v>
      </c>
      <c r="N201" s="82"/>
      <c r="O201" s="27"/>
      <c r="P201" s="65"/>
      <c r="Q201" s="65"/>
      <c r="R201" s="14"/>
      <c r="S201" s="26"/>
    </row>
    <row r="202" spans="1:19" x14ac:dyDescent="0.25">
      <c r="A202" s="49"/>
      <c r="B202" s="49"/>
      <c r="C202" s="49"/>
      <c r="D202" s="80">
        <v>2</v>
      </c>
      <c r="E202" s="62" t="str">
        <f>VLOOKUP(D202,'[1]Tabla 15'!$B$15:$E$26,3,FALSE)</f>
        <v>Afiliados y beneficiarios categoria B</v>
      </c>
      <c r="F202" s="21">
        <f>C201*25%</f>
        <v>62750</v>
      </c>
      <c r="G202" s="21">
        <f>+F202-C201</f>
        <v>-188250</v>
      </c>
      <c r="H202" s="63">
        <f>IF(G202&gt;0,G202/C201,0%)</f>
        <v>0</v>
      </c>
      <c r="I202" s="21">
        <v>247700</v>
      </c>
      <c r="J202" s="63">
        <f>IF(G202&lt;=0,-G202/C201,0%)</f>
        <v>0.75</v>
      </c>
      <c r="K202" s="64">
        <f>IF(I202="NA","NA",(+F202-I202)/F202)</f>
        <v>-2.9474103585657372</v>
      </c>
      <c r="L202" s="81">
        <v>306</v>
      </c>
      <c r="N202" s="14"/>
      <c r="O202" s="14"/>
      <c r="P202" s="14"/>
      <c r="Q202" s="14"/>
      <c r="R202" s="14"/>
      <c r="S202" s="26"/>
    </row>
    <row r="203" spans="1:19" x14ac:dyDescent="0.25">
      <c r="A203" s="49"/>
      <c r="B203" s="49"/>
      <c r="C203" s="49"/>
      <c r="D203" s="80">
        <v>3</v>
      </c>
      <c r="E203" s="62" t="str">
        <f>VLOOKUP(D203,'[1]Tabla 15'!$B$15:$E$26,3,FALSE)</f>
        <v>Representa el costo del servicio C</v>
      </c>
      <c r="F203" s="21">
        <f>C201</f>
        <v>251000</v>
      </c>
      <c r="G203" s="21">
        <f>+F203-C201</f>
        <v>0</v>
      </c>
      <c r="H203" s="63">
        <f>IF(G203&gt;0,G203/C201,0%)</f>
        <v>0</v>
      </c>
      <c r="I203" s="21">
        <v>247700</v>
      </c>
      <c r="J203" s="63">
        <f>IF(G203&lt;=0,-G203/C201,0%)</f>
        <v>0</v>
      </c>
      <c r="K203" s="64">
        <f>IF(I203="NA","NA",(+F203-I203)/F203)</f>
        <v>1.3147410358565738E-2</v>
      </c>
      <c r="L203" s="81">
        <v>5</v>
      </c>
      <c r="N203" s="14"/>
      <c r="O203" s="14"/>
      <c r="P203" s="14"/>
      <c r="Q203" s="14"/>
      <c r="R203" s="14"/>
      <c r="S203" s="26"/>
    </row>
    <row r="204" spans="1:19" x14ac:dyDescent="0.25">
      <c r="A204" s="49"/>
      <c r="B204" s="49"/>
      <c r="C204" s="49"/>
      <c r="D204" s="80">
        <v>4</v>
      </c>
      <c r="E204" s="62" t="str">
        <f>VLOOKUP(D204,'[1]Tabla 15'!$B$15:$E$26,3,FALSE)</f>
        <v>D (No afiliados)</v>
      </c>
      <c r="F204" s="21">
        <f>CEILING(C201*1.2,100)</f>
        <v>301200</v>
      </c>
      <c r="G204" s="21">
        <f>+F204-C201</f>
        <v>50200</v>
      </c>
      <c r="H204" s="63">
        <f>IF(G204&gt;0,G204/C201,0%)</f>
        <v>0.2</v>
      </c>
      <c r="I204" s="21">
        <v>297300</v>
      </c>
      <c r="J204" s="63">
        <f>IF(G204&lt;=0,-G204/C201,0%)</f>
        <v>0</v>
      </c>
      <c r="K204" s="64">
        <f>IF(I204="NA","NA",(+F204-I204)/F204)</f>
        <v>1.2948207171314742E-2</v>
      </c>
      <c r="L204" s="81">
        <v>5</v>
      </c>
      <c r="N204" s="14"/>
      <c r="O204" s="14"/>
      <c r="P204" s="14"/>
      <c r="Q204" s="14"/>
      <c r="R204" s="27"/>
      <c r="S204" s="26"/>
    </row>
    <row r="205" spans="1:19" x14ac:dyDescent="0.25">
      <c r="A205" s="83" t="s">
        <v>13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28">
        <f>SUM(L201:L204)</f>
        <v>466</v>
      </c>
      <c r="N205" s="14"/>
      <c r="O205" s="14"/>
      <c r="P205" s="14"/>
      <c r="Q205" s="14"/>
      <c r="R205" s="27"/>
      <c r="S205" s="26"/>
    </row>
    <row r="206" spans="1:19" x14ac:dyDescent="0.25">
      <c r="A206" s="66"/>
      <c r="B206" s="66"/>
      <c r="C206" s="66"/>
      <c r="D206" s="66"/>
      <c r="E206" s="66"/>
      <c r="F206" s="67"/>
      <c r="G206" s="67"/>
      <c r="H206" s="66"/>
      <c r="I206" s="58"/>
      <c r="J206" s="66"/>
      <c r="K206" s="68"/>
      <c r="L206" s="66"/>
      <c r="N206" s="14"/>
      <c r="O206" s="14"/>
      <c r="P206" s="14"/>
      <c r="Q206" s="14"/>
      <c r="R206" s="14"/>
      <c r="S206" s="26"/>
    </row>
    <row r="207" spans="1:19" x14ac:dyDescent="0.25">
      <c r="A207" s="84" t="s">
        <v>17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4"/>
      <c r="O207" s="14"/>
      <c r="P207" s="14"/>
      <c r="Q207" s="14"/>
      <c r="R207" s="14"/>
      <c r="S207" s="26"/>
    </row>
    <row r="208" spans="1:19" ht="60" x14ac:dyDescent="0.25">
      <c r="A208" s="5" t="s">
        <v>2</v>
      </c>
      <c r="B208" s="5" t="s">
        <v>3</v>
      </c>
      <c r="C208" s="5" t="s">
        <v>4</v>
      </c>
      <c r="D208" s="5" t="s">
        <v>5</v>
      </c>
      <c r="E208" s="5"/>
      <c r="F208" s="6" t="s">
        <v>6</v>
      </c>
      <c r="G208" s="6" t="s">
        <v>7</v>
      </c>
      <c r="H208" s="5" t="s">
        <v>8</v>
      </c>
      <c r="I208" s="7" t="s">
        <v>9</v>
      </c>
      <c r="J208" s="5" t="s">
        <v>10</v>
      </c>
      <c r="K208" s="8" t="s">
        <v>11</v>
      </c>
      <c r="L208" s="5" t="s">
        <v>12</v>
      </c>
      <c r="M208" s="9"/>
      <c r="N208" s="9"/>
      <c r="O208" s="14"/>
      <c r="P208" s="14"/>
      <c r="Q208" s="14"/>
      <c r="R208" s="14"/>
      <c r="S208" s="26"/>
    </row>
    <row r="209" spans="1:19" x14ac:dyDescent="0.25">
      <c r="A209" s="85" t="s">
        <v>18</v>
      </c>
      <c r="B209" s="85" t="s">
        <v>19</v>
      </c>
      <c r="C209" s="86">
        <v>395000</v>
      </c>
      <c r="D209" s="80">
        <v>1</v>
      </c>
      <c r="E209" s="62" t="str">
        <f>VLOOKUP(D209,'[1]Tabla 15'!$B$15:$E$26,3,FALSE)</f>
        <v>Afiliados y beneficiarios categoria A</v>
      </c>
      <c r="F209" s="21">
        <f>C209*J209</f>
        <v>158000</v>
      </c>
      <c r="G209" s="21">
        <f>+F209-C209</f>
        <v>-237000</v>
      </c>
      <c r="H209" s="63">
        <f>IF(G209&gt;0,G209/C209,0%)</f>
        <v>0</v>
      </c>
      <c r="I209" s="21">
        <f>C209*(1-J209)</f>
        <v>237000</v>
      </c>
      <c r="J209" s="63">
        <v>0.4</v>
      </c>
      <c r="K209" s="64">
        <f t="shared" ref="K209:K215" si="23">IF(I209="NA","NA",IF(EXACT(I209,F209),0,(+F209-I209)/F209))</f>
        <v>-0.5</v>
      </c>
      <c r="L209" s="87">
        <v>170</v>
      </c>
      <c r="M209" s="88"/>
      <c r="N209" s="88"/>
      <c r="O209" s="27"/>
      <c r="P209" s="25"/>
      <c r="Q209" s="25"/>
      <c r="R209" s="14"/>
      <c r="S209" s="26"/>
    </row>
    <row r="210" spans="1:19" x14ac:dyDescent="0.25">
      <c r="A210" s="3"/>
      <c r="B210" s="3"/>
      <c r="C210" s="49"/>
      <c r="D210" s="80">
        <v>2</v>
      </c>
      <c r="E210" s="62" t="str">
        <f>VLOOKUP(D210,'[1]Tabla 15'!$B$15:$E$26,3,FALSE)</f>
        <v>Afiliados y beneficiarios categoria B</v>
      </c>
      <c r="F210" s="21">
        <f>C209*J210</f>
        <v>197500</v>
      </c>
      <c r="G210" s="21">
        <f>+F210-C209</f>
        <v>-197500</v>
      </c>
      <c r="H210" s="63">
        <f>IF(G210&gt;0,G210/C209,0%)</f>
        <v>0</v>
      </c>
      <c r="I210" s="21">
        <f>C209*(1-J210)</f>
        <v>197500</v>
      </c>
      <c r="J210" s="63">
        <v>0.5</v>
      </c>
      <c r="K210" s="64">
        <f t="shared" si="23"/>
        <v>0</v>
      </c>
      <c r="L210" s="87">
        <v>182</v>
      </c>
      <c r="M210" s="88"/>
      <c r="N210" s="88"/>
      <c r="O210" s="14"/>
      <c r="P210" s="14"/>
      <c r="Q210" s="14"/>
      <c r="R210" s="14"/>
      <c r="S210" s="26"/>
    </row>
    <row r="211" spans="1:19" x14ac:dyDescent="0.25">
      <c r="A211" s="3"/>
      <c r="B211" s="3"/>
      <c r="C211" s="49"/>
      <c r="D211" s="80">
        <v>3</v>
      </c>
      <c r="E211" s="62" t="str">
        <f>VLOOKUP(D211,'[1]Tabla 15'!$B$15:$E$26,3,FALSE)</f>
        <v>Representa el costo del servicio C</v>
      </c>
      <c r="F211" s="21">
        <f>C209</f>
        <v>395000</v>
      </c>
      <c r="G211" s="21">
        <f>+F211-C209</f>
        <v>0</v>
      </c>
      <c r="H211" s="63">
        <f>IF(G211&gt;0,G211/C209,0%)</f>
        <v>0</v>
      </c>
      <c r="I211" s="21">
        <f>C209</f>
        <v>395000</v>
      </c>
      <c r="J211" s="63">
        <f>IF(G211&lt;=0,-G211/C209,0%)</f>
        <v>0</v>
      </c>
      <c r="K211" s="64">
        <f t="shared" si="23"/>
        <v>0</v>
      </c>
      <c r="L211" s="23">
        <v>3</v>
      </c>
      <c r="M211" s="24"/>
      <c r="N211" s="24"/>
      <c r="O211" s="14"/>
      <c r="P211" s="14"/>
      <c r="Q211" s="14"/>
      <c r="R211" s="14"/>
      <c r="S211" s="26"/>
    </row>
    <row r="212" spans="1:19" x14ac:dyDescent="0.25">
      <c r="A212" s="3"/>
      <c r="B212" s="3"/>
      <c r="C212" s="49"/>
      <c r="D212" s="80">
        <v>4</v>
      </c>
      <c r="E212" s="62" t="str">
        <f>VLOOKUP(D212,'[1]Tabla 15'!$B$15:$E$26,3,FALSE)</f>
        <v>D (No afiliados)</v>
      </c>
      <c r="F212" s="89">
        <v>798000</v>
      </c>
      <c r="G212" s="21">
        <f>+F212-C209</f>
        <v>403000</v>
      </c>
      <c r="H212" s="63">
        <f>IF(G212&gt;0,G212/C209,0%)</f>
        <v>1.0202531645569621</v>
      </c>
      <c r="I212" s="21">
        <f>F212</f>
        <v>798000</v>
      </c>
      <c r="J212" s="63">
        <f>IF(G212&lt;=0,-G212/C209,0%)</f>
        <v>0</v>
      </c>
      <c r="K212" s="64">
        <f t="shared" si="23"/>
        <v>0</v>
      </c>
      <c r="L212" s="23">
        <v>1</v>
      </c>
      <c r="M212" s="24"/>
      <c r="N212" s="24"/>
      <c r="O212" s="14"/>
      <c r="P212" s="14"/>
      <c r="Q212" s="14"/>
      <c r="R212" s="14"/>
      <c r="S212" s="26"/>
    </row>
    <row r="213" spans="1:19" x14ac:dyDescent="0.25">
      <c r="A213" s="3"/>
      <c r="B213" s="3"/>
      <c r="C213" s="49"/>
      <c r="D213" s="80">
        <v>5</v>
      </c>
      <c r="E213" s="62" t="str">
        <f>VLOOKUP(D213,'[1]Tabla 15'!$B$15:$E$26,3,FALSE)</f>
        <v>Empresas (Servicios contratados por empresas afiliadas o no afiliadas)</v>
      </c>
      <c r="F213" s="89">
        <v>798000</v>
      </c>
      <c r="G213" s="21">
        <f>+F213-C209</f>
        <v>403000</v>
      </c>
      <c r="H213" s="63">
        <f>IF(G213&gt;0,G213/C209,0%)</f>
        <v>1.0202531645569621</v>
      </c>
      <c r="I213" s="21">
        <f>F213</f>
        <v>798000</v>
      </c>
      <c r="J213" s="63">
        <f>IF(G213&lt;=0,-G213/C209,0%)</f>
        <v>0</v>
      </c>
      <c r="K213" s="64">
        <f t="shared" si="23"/>
        <v>0</v>
      </c>
      <c r="L213" s="23">
        <v>2</v>
      </c>
      <c r="M213" s="24"/>
      <c r="N213" s="24"/>
      <c r="O213" s="14"/>
      <c r="P213" s="14"/>
      <c r="Q213" s="14"/>
      <c r="R213" s="14"/>
      <c r="S213" s="26"/>
    </row>
    <row r="214" spans="1:19" x14ac:dyDescent="0.25">
      <c r="A214" s="3"/>
      <c r="B214" s="3"/>
      <c r="C214" s="49"/>
      <c r="D214" s="90">
        <v>6</v>
      </c>
      <c r="E214" s="62" t="str">
        <f>VLOOKUP(D214,'[1]Tabla 15'!$B$15:$E$26,3,FALSE)</f>
        <v>Fondos de Ley (Aplica para reportar la cobertura de los Servicios Sociales a los Fondos de Ley)</v>
      </c>
      <c r="F214" s="89">
        <v>740000</v>
      </c>
      <c r="G214" s="21">
        <f>+F214-C209</f>
        <v>345000</v>
      </c>
      <c r="H214" s="63">
        <f>IF(G214&gt;0,G214/C209,0%)</f>
        <v>0.87341772151898733</v>
      </c>
      <c r="I214" s="21">
        <v>740000</v>
      </c>
      <c r="J214" s="63">
        <f>IF(G214&lt;=0,-G214/C208,0%)</f>
        <v>0</v>
      </c>
      <c r="K214" s="64">
        <f t="shared" si="23"/>
        <v>0</v>
      </c>
      <c r="L214" s="23">
        <v>1</v>
      </c>
      <c r="M214" s="24"/>
      <c r="N214" s="24"/>
      <c r="O214" s="14"/>
      <c r="P214" s="14"/>
      <c r="Q214" s="14"/>
      <c r="R214" s="14"/>
      <c r="S214" s="26"/>
    </row>
    <row r="215" spans="1:19" x14ac:dyDescent="0.25">
      <c r="A215" s="3"/>
      <c r="B215" s="3"/>
      <c r="C215" s="49"/>
      <c r="D215" s="80">
        <v>10</v>
      </c>
      <c r="E215" s="62" t="str">
        <f>VLOOKUP(D215,'[1]Tabla 15'!$B$15:$E$26,3,FALSE)</f>
        <v>Convenios (Esta categoría se utiliza para convenios con entidades, alcaldías, gobernaciones)</v>
      </c>
      <c r="F215" s="89">
        <v>740000</v>
      </c>
      <c r="G215" s="21">
        <f>+F215-C209</f>
        <v>345000</v>
      </c>
      <c r="H215" s="63">
        <f>IF(G215&gt;0,G215/C209,0%)</f>
        <v>0.87341772151898733</v>
      </c>
      <c r="I215" s="21">
        <v>740000</v>
      </c>
      <c r="J215" s="63">
        <f>IF(G215&lt;=0,-G215/C209,0%)</f>
        <v>0</v>
      </c>
      <c r="K215" s="64">
        <f t="shared" si="23"/>
        <v>0</v>
      </c>
      <c r="L215" s="23">
        <v>1</v>
      </c>
      <c r="M215" s="24"/>
      <c r="N215" s="24"/>
      <c r="O215" s="14"/>
      <c r="P215" s="14"/>
      <c r="Q215" s="14"/>
      <c r="R215" s="14"/>
      <c r="S215" s="26"/>
    </row>
    <row r="216" spans="1:19" x14ac:dyDescent="0.25">
      <c r="A216" s="2" t="s">
        <v>13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91">
        <f>SUM(L209:L215)</f>
        <v>360</v>
      </c>
      <c r="M216" s="92"/>
      <c r="N216" s="92"/>
      <c r="O216" s="14"/>
      <c r="P216" s="14"/>
      <c r="Q216" s="14"/>
      <c r="R216" s="14"/>
      <c r="S216" s="26"/>
    </row>
    <row r="217" spans="1:19" x14ac:dyDescent="0.25">
      <c r="A217" s="66"/>
      <c r="B217" s="66"/>
      <c r="C217" s="66"/>
      <c r="D217" s="66"/>
      <c r="E217" s="66"/>
      <c r="F217" s="67"/>
      <c r="G217" s="67"/>
      <c r="H217" s="66"/>
      <c r="I217" s="58"/>
      <c r="J217" s="66"/>
      <c r="K217" s="68"/>
      <c r="L217" s="66"/>
      <c r="M217" s="69"/>
      <c r="N217" s="70"/>
      <c r="O217" s="14"/>
      <c r="P217" s="14"/>
      <c r="Q217" s="14"/>
      <c r="R217" s="14"/>
      <c r="S217" s="26"/>
    </row>
    <row r="218" spans="1:19" x14ac:dyDescent="0.25">
      <c r="A218" s="93" t="s">
        <v>1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4"/>
      <c r="O218" s="14"/>
      <c r="P218" s="14"/>
      <c r="Q218" s="14"/>
      <c r="R218" s="14"/>
      <c r="S218" s="26"/>
    </row>
    <row r="219" spans="1:19" ht="60" x14ac:dyDescent="0.25">
      <c r="A219" s="94" t="s">
        <v>2</v>
      </c>
      <c r="B219" s="94" t="s">
        <v>3</v>
      </c>
      <c r="C219" s="94" t="s">
        <v>4</v>
      </c>
      <c r="D219" s="94" t="s">
        <v>5</v>
      </c>
      <c r="E219" s="94"/>
      <c r="F219" s="95" t="s">
        <v>6</v>
      </c>
      <c r="G219" s="95" t="s">
        <v>7</v>
      </c>
      <c r="H219" s="94" t="s">
        <v>8</v>
      </c>
      <c r="I219" s="96" t="s">
        <v>9</v>
      </c>
      <c r="J219" s="94" t="s">
        <v>10</v>
      </c>
      <c r="K219" s="97" t="s">
        <v>11</v>
      </c>
      <c r="L219" s="94" t="s">
        <v>12</v>
      </c>
      <c r="M219" s="98"/>
      <c r="N219" s="98"/>
      <c r="O219" s="14"/>
      <c r="P219" s="14"/>
      <c r="Q219" s="14"/>
      <c r="R219" s="14"/>
      <c r="S219" s="26"/>
    </row>
    <row r="220" spans="1:19" x14ac:dyDescent="0.25">
      <c r="A220" s="15" t="s">
        <v>20</v>
      </c>
      <c r="B220" s="48" t="s">
        <v>21</v>
      </c>
      <c r="C220" s="16">
        <v>80000</v>
      </c>
      <c r="D220" s="99">
        <v>1</v>
      </c>
      <c r="E220" s="57" t="str">
        <f>VLOOKUP(D220,'[1]Tabla 15'!$B$15:$E$26,3,FALSE)</f>
        <v>Afiliados y beneficiarios categoria A</v>
      </c>
      <c r="F220" s="19">
        <f>C220*10%</f>
        <v>8000</v>
      </c>
      <c r="G220" s="19">
        <f>+F220-C220</f>
        <v>-72000</v>
      </c>
      <c r="H220" s="20">
        <f>IF(G220&gt;0,G220/C220,0%)</f>
        <v>0</v>
      </c>
      <c r="I220" s="100">
        <v>48000</v>
      </c>
      <c r="J220" s="20">
        <f>IF(G220&lt;=0,-G220/C220,0%)</f>
        <v>0.9</v>
      </c>
      <c r="K220" s="22">
        <f>IF(I220="NA","NA",(+F220-I220)/F220)</f>
        <v>-5</v>
      </c>
      <c r="L220" s="101">
        <v>90</v>
      </c>
      <c r="M220" s="102"/>
      <c r="N220" s="102"/>
      <c r="O220" s="27"/>
      <c r="P220" s="65"/>
      <c r="Q220" s="65"/>
      <c r="R220" s="14"/>
      <c r="S220" s="26"/>
    </row>
    <row r="221" spans="1:19" x14ac:dyDescent="0.25">
      <c r="A221" s="3"/>
      <c r="B221" s="49"/>
      <c r="C221" s="3"/>
      <c r="D221" s="99">
        <v>2</v>
      </c>
      <c r="E221" s="57" t="str">
        <f>VLOOKUP(D221,'[1]Tabla 15'!$B$15:$E$26,3,FALSE)</f>
        <v>Afiliados y beneficiarios categoria B</v>
      </c>
      <c r="F221" s="19">
        <f>C220*12%</f>
        <v>9600</v>
      </c>
      <c r="G221" s="19">
        <f>+F221-C220</f>
        <v>-70400</v>
      </c>
      <c r="H221" s="20">
        <f>IF(G221&gt;0,G221/C220,0%)</f>
        <v>0</v>
      </c>
      <c r="I221" s="100">
        <v>56000</v>
      </c>
      <c r="J221" s="20">
        <f>IF(G221&lt;=0,-G221/C220,0%)</f>
        <v>0.88</v>
      </c>
      <c r="K221" s="22">
        <f>IF(I221="NA","NA",(+F221-I221)/F221)</f>
        <v>-4.833333333333333</v>
      </c>
      <c r="L221" s="101">
        <v>90</v>
      </c>
      <c r="M221" s="102"/>
      <c r="N221" s="102"/>
      <c r="O221" s="14"/>
      <c r="P221" s="14"/>
      <c r="Q221" s="14"/>
      <c r="R221" s="14"/>
      <c r="S221" s="26"/>
    </row>
    <row r="222" spans="1:19" x14ac:dyDescent="0.25">
      <c r="A222" s="3"/>
      <c r="B222" s="49"/>
      <c r="C222" s="3"/>
      <c r="D222" s="99">
        <v>3</v>
      </c>
      <c r="E222" s="57" t="str">
        <f>VLOOKUP(D222,'[1]Tabla 15'!$B$15:$E$26,3,FALSE)</f>
        <v>Representa el costo del servicio C</v>
      </c>
      <c r="F222" s="19">
        <f>C220</f>
        <v>80000</v>
      </c>
      <c r="G222" s="19">
        <f>+F222-C220</f>
        <v>0</v>
      </c>
      <c r="H222" s="20">
        <f>IF(G222&gt;0,G222/C220,0%)</f>
        <v>0</v>
      </c>
      <c r="I222" s="100">
        <v>80000</v>
      </c>
      <c r="J222" s="20">
        <f>IF(G222&lt;=0,-G222/C220,0%)</f>
        <v>0</v>
      </c>
      <c r="K222" s="22">
        <f>IF(I222="NA","NA",(+F222-I222)/F222)</f>
        <v>0</v>
      </c>
      <c r="L222" s="101">
        <v>20</v>
      </c>
      <c r="M222" s="102"/>
      <c r="N222" s="102"/>
      <c r="O222" s="14"/>
      <c r="P222" s="14"/>
      <c r="Q222" s="14"/>
      <c r="R222" s="27"/>
      <c r="S222" s="26"/>
    </row>
    <row r="223" spans="1:19" x14ac:dyDescent="0.25">
      <c r="A223" s="103" t="s">
        <v>13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104">
        <v>200</v>
      </c>
      <c r="M223" s="105"/>
      <c r="N223" s="105"/>
      <c r="O223" s="14"/>
      <c r="P223" s="14"/>
      <c r="Q223" s="14"/>
      <c r="R223" s="14"/>
      <c r="S223" s="26"/>
    </row>
    <row r="224" spans="1:19" x14ac:dyDescent="0.25">
      <c r="A224" s="66"/>
      <c r="B224" s="66"/>
      <c r="C224" s="66"/>
      <c r="D224" s="66"/>
      <c r="E224" s="66"/>
      <c r="F224" s="67"/>
      <c r="G224" s="67"/>
      <c r="H224" s="66"/>
      <c r="I224" s="58"/>
      <c r="J224" s="66"/>
      <c r="K224" s="68"/>
      <c r="L224" s="66"/>
      <c r="M224" s="69"/>
      <c r="N224" s="70"/>
      <c r="O224" s="14"/>
      <c r="P224" s="14"/>
      <c r="Q224" s="14"/>
      <c r="R224" s="14"/>
      <c r="S224" s="26"/>
    </row>
    <row r="225" spans="1:19" x14ac:dyDescent="0.25">
      <c r="A225" s="93" t="s">
        <v>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4"/>
      <c r="O225" s="14"/>
      <c r="P225" s="14"/>
      <c r="Q225" s="14"/>
      <c r="R225" s="14"/>
      <c r="S225" s="26"/>
    </row>
    <row r="226" spans="1:19" ht="60" x14ac:dyDescent="0.25">
      <c r="A226" s="94" t="s">
        <v>2</v>
      </c>
      <c r="B226" s="94" t="s">
        <v>3</v>
      </c>
      <c r="C226" s="94" t="s">
        <v>4</v>
      </c>
      <c r="D226" s="94" t="s">
        <v>5</v>
      </c>
      <c r="E226" s="94"/>
      <c r="F226" s="95" t="s">
        <v>6</v>
      </c>
      <c r="G226" s="95" t="s">
        <v>7</v>
      </c>
      <c r="H226" s="94" t="s">
        <v>8</v>
      </c>
      <c r="I226" s="96" t="s">
        <v>9</v>
      </c>
      <c r="J226" s="94" t="s">
        <v>10</v>
      </c>
      <c r="K226" s="97" t="s">
        <v>11</v>
      </c>
      <c r="L226" s="94" t="s">
        <v>12</v>
      </c>
      <c r="M226" s="98"/>
      <c r="N226" s="98"/>
      <c r="O226" s="14"/>
      <c r="P226" s="14"/>
      <c r="Q226" s="14"/>
      <c r="R226" s="14"/>
      <c r="S226" s="26"/>
    </row>
    <row r="227" spans="1:19" x14ac:dyDescent="0.25">
      <c r="A227" s="15" t="s">
        <v>22</v>
      </c>
      <c r="B227" s="48" t="s">
        <v>23</v>
      </c>
      <c r="C227" s="16">
        <v>10000</v>
      </c>
      <c r="D227" s="99">
        <v>1</v>
      </c>
      <c r="E227" s="57" t="str">
        <f>VLOOKUP(D227,'[1]Tabla 15'!$B$15:$E$26,3,FALSE)</f>
        <v>Afiliados y beneficiarios categoria A</v>
      </c>
      <c r="F227" s="19">
        <f>C227*20%</f>
        <v>2000</v>
      </c>
      <c r="G227" s="19">
        <f>+F227-C227</f>
        <v>-8000</v>
      </c>
      <c r="H227" s="20">
        <f>IF(G227&gt;0,G227/C227,0%)</f>
        <v>0</v>
      </c>
      <c r="I227" s="100">
        <v>2000</v>
      </c>
      <c r="J227" s="20">
        <f>IF(G227&lt;=0,-G227/C227,0%)</f>
        <v>0.8</v>
      </c>
      <c r="K227" s="22">
        <f>IF(I227="NA","NA",(+F227-I227)/F227)</f>
        <v>0</v>
      </c>
      <c r="L227" s="101">
        <v>90</v>
      </c>
      <c r="M227" s="102"/>
      <c r="N227" s="102"/>
      <c r="O227" s="14"/>
      <c r="P227" s="65"/>
      <c r="Q227" s="65"/>
      <c r="R227" s="14"/>
      <c r="S227" s="26"/>
    </row>
    <row r="228" spans="1:19" x14ac:dyDescent="0.25">
      <c r="A228" s="3"/>
      <c r="B228" s="49"/>
      <c r="C228" s="3"/>
      <c r="D228" s="99">
        <v>2</v>
      </c>
      <c r="E228" s="57" t="str">
        <f>VLOOKUP(D228,'[1]Tabla 15'!$B$15:$E$26,3,FALSE)</f>
        <v>Afiliados y beneficiarios categoria B</v>
      </c>
      <c r="F228" s="19">
        <f>C227*30%</f>
        <v>3000</v>
      </c>
      <c r="G228" s="19">
        <f>+F228-C227</f>
        <v>-7000</v>
      </c>
      <c r="H228" s="20">
        <f>IF(G228&gt;0,G228/C227,0%)</f>
        <v>0</v>
      </c>
      <c r="I228" s="100">
        <v>3000</v>
      </c>
      <c r="J228" s="20">
        <f>IF(G228&lt;=0,-G228/C227,0%)</f>
        <v>0.7</v>
      </c>
      <c r="K228" s="22">
        <f>IF(I228="NA","NA",(+F228-I228)/F228)</f>
        <v>0</v>
      </c>
      <c r="L228" s="101">
        <v>90</v>
      </c>
      <c r="M228" s="102"/>
      <c r="N228" s="102"/>
      <c r="O228" s="14"/>
      <c r="P228" s="14"/>
      <c r="Q228" s="14"/>
      <c r="R228" s="14"/>
      <c r="S228" s="26"/>
    </row>
    <row r="229" spans="1:19" x14ac:dyDescent="0.25">
      <c r="A229" s="3"/>
      <c r="B229" s="49"/>
      <c r="C229" s="3"/>
      <c r="D229" s="99">
        <v>3</v>
      </c>
      <c r="E229" s="57" t="str">
        <f>VLOOKUP(D229,'[1]Tabla 15'!$B$15:$E$26,3,FALSE)</f>
        <v>Representa el costo del servicio C</v>
      </c>
      <c r="F229" s="19">
        <f>C227</f>
        <v>10000</v>
      </c>
      <c r="G229" s="19">
        <f>+F229-C227</f>
        <v>0</v>
      </c>
      <c r="H229" s="20">
        <f>IF(G229&gt;0,G229/C227,0%)</f>
        <v>0</v>
      </c>
      <c r="I229" s="100">
        <v>10000</v>
      </c>
      <c r="J229" s="20">
        <f>IF(G229&lt;=0,-G229/C227,0%)</f>
        <v>0</v>
      </c>
      <c r="K229" s="22">
        <f>IF(I229="NA","NA",(+F229-I229)/F229)</f>
        <v>0</v>
      </c>
      <c r="L229" s="101">
        <v>20</v>
      </c>
      <c r="M229" s="102"/>
      <c r="N229" s="102"/>
      <c r="O229" s="14"/>
      <c r="P229" s="14"/>
      <c r="Q229" s="14"/>
      <c r="R229" s="27"/>
      <c r="S229" s="26"/>
    </row>
    <row r="230" spans="1:19" x14ac:dyDescent="0.25">
      <c r="A230" s="103" t="s">
        <v>13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104">
        <v>200</v>
      </c>
      <c r="M230" s="105"/>
      <c r="N230" s="105"/>
      <c r="O230" s="14"/>
      <c r="P230" s="14"/>
      <c r="Q230" s="14"/>
      <c r="R230" s="14"/>
      <c r="S230" s="26"/>
    </row>
    <row r="231" spans="1:19" x14ac:dyDescent="0.25">
      <c r="A231" s="93" t="s">
        <v>24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4"/>
      <c r="O231" s="14"/>
      <c r="P231" s="14"/>
      <c r="Q231" s="14"/>
      <c r="R231" s="14"/>
      <c r="S231" s="26"/>
    </row>
    <row r="232" spans="1:19" ht="60" x14ac:dyDescent="0.25">
      <c r="A232" s="94" t="s">
        <v>2</v>
      </c>
      <c r="B232" s="94" t="s">
        <v>3</v>
      </c>
      <c r="C232" s="94" t="s">
        <v>4</v>
      </c>
      <c r="D232" s="94" t="s">
        <v>5</v>
      </c>
      <c r="E232" s="94"/>
      <c r="F232" s="95" t="s">
        <v>6</v>
      </c>
      <c r="G232" s="95" t="s">
        <v>7</v>
      </c>
      <c r="H232" s="94" t="s">
        <v>8</v>
      </c>
      <c r="I232" s="96" t="s">
        <v>9</v>
      </c>
      <c r="J232" s="94" t="s">
        <v>10</v>
      </c>
      <c r="K232" s="97" t="s">
        <v>11</v>
      </c>
      <c r="L232" s="94" t="s">
        <v>12</v>
      </c>
      <c r="M232" s="98"/>
      <c r="N232" s="98"/>
      <c r="O232" s="14"/>
      <c r="P232" s="14"/>
      <c r="Q232" s="14"/>
      <c r="R232" s="14"/>
      <c r="S232" s="26"/>
    </row>
    <row r="233" spans="1:19" x14ac:dyDescent="0.25">
      <c r="A233" s="15" t="s">
        <v>25</v>
      </c>
      <c r="B233" s="48" t="s">
        <v>26</v>
      </c>
      <c r="C233" s="16">
        <v>10000</v>
      </c>
      <c r="D233" s="99">
        <v>1</v>
      </c>
      <c r="E233" s="57" t="str">
        <f>VLOOKUP(D233,'[1]Tabla 15'!$B$15:$E$26,3,FALSE)</f>
        <v>Afiliados y beneficiarios categoria A</v>
      </c>
      <c r="F233" s="19">
        <f>C233*0.4</f>
        <v>4000</v>
      </c>
      <c r="G233" s="19">
        <f>+F233-C233</f>
        <v>-6000</v>
      </c>
      <c r="H233" s="20">
        <f>IF(G233&gt;0,G233/C233,0%)</f>
        <v>0</v>
      </c>
      <c r="I233" s="100">
        <v>3600</v>
      </c>
      <c r="J233" s="20">
        <f>IF(G233&lt;=0,-G233/C233,0%)</f>
        <v>0.6</v>
      </c>
      <c r="K233" s="22">
        <f>IF(I233="NA","NA",(+F233-I233)/F233)</f>
        <v>0.1</v>
      </c>
      <c r="L233" s="101">
        <v>95</v>
      </c>
      <c r="M233" s="102"/>
      <c r="N233" s="102"/>
      <c r="O233" s="27"/>
      <c r="P233" s="25"/>
      <c r="Q233" s="65"/>
      <c r="R233" s="14"/>
      <c r="S233" s="26"/>
    </row>
    <row r="234" spans="1:19" x14ac:dyDescent="0.25">
      <c r="A234" s="3"/>
      <c r="B234" s="49"/>
      <c r="C234" s="3"/>
      <c r="D234" s="99">
        <v>2</v>
      </c>
      <c r="E234" s="57" t="str">
        <f>VLOOKUP(D234,'[1]Tabla 15'!$B$15:$E$26,3,FALSE)</f>
        <v>Afiliados y beneficiarios categoria B</v>
      </c>
      <c r="F234" s="19">
        <f>C233*0.5</f>
        <v>5000</v>
      </c>
      <c r="G234" s="19">
        <f>+F234-C233</f>
        <v>-5000</v>
      </c>
      <c r="H234" s="20">
        <f>IF(G234&gt;0,G234/C233,0%)</f>
        <v>0</v>
      </c>
      <c r="I234" s="100">
        <v>4500</v>
      </c>
      <c r="J234" s="20">
        <f>IF(G234&lt;=0,-G234/C233,0%)</f>
        <v>0.5</v>
      </c>
      <c r="K234" s="22">
        <f>IF(I234="NA","NA",(+F234-I234)/F234)</f>
        <v>0.1</v>
      </c>
      <c r="L234" s="101">
        <v>95</v>
      </c>
      <c r="M234" s="102"/>
      <c r="N234" s="102"/>
      <c r="O234" s="14"/>
      <c r="P234" s="14"/>
      <c r="Q234" s="14"/>
      <c r="R234" s="14"/>
      <c r="S234" s="26"/>
    </row>
    <row r="235" spans="1:19" x14ac:dyDescent="0.25">
      <c r="A235" s="3"/>
      <c r="B235" s="49"/>
      <c r="C235" s="3"/>
      <c r="D235" s="99">
        <v>3</v>
      </c>
      <c r="E235" s="57" t="str">
        <f>VLOOKUP(D235,'[1]Tabla 15'!$B$15:$E$26,3,FALSE)</f>
        <v>Representa el costo del servicio C</v>
      </c>
      <c r="F235" s="19">
        <f>C233</f>
        <v>10000</v>
      </c>
      <c r="G235" s="19">
        <f>+F235-C233</f>
        <v>0</v>
      </c>
      <c r="H235" s="20">
        <f>IF(G235&gt;0,G235/C233,0%)</f>
        <v>0</v>
      </c>
      <c r="I235" s="100">
        <v>9000</v>
      </c>
      <c r="J235" s="20">
        <f>IF(G235&lt;=0,-G235/C233,0%)</f>
        <v>0</v>
      </c>
      <c r="K235" s="22">
        <f>IF(I235="NA","NA",(+F235-I235)/F235)</f>
        <v>0.1</v>
      </c>
      <c r="L235" s="101">
        <v>10</v>
      </c>
      <c r="M235" s="102"/>
      <c r="N235" s="102"/>
      <c r="O235" s="14"/>
      <c r="P235" s="14"/>
      <c r="Q235" s="14"/>
      <c r="R235" s="27"/>
      <c r="S235" s="26"/>
    </row>
    <row r="236" spans="1:19" x14ac:dyDescent="0.25">
      <c r="A236" s="103" t="s">
        <v>13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104">
        <v>200</v>
      </c>
      <c r="M236" s="105"/>
      <c r="N236" s="105"/>
      <c r="O236" s="14"/>
      <c r="P236" s="14"/>
      <c r="Q236" s="14"/>
      <c r="R236" s="14"/>
      <c r="S236" s="26"/>
    </row>
    <row r="237" spans="1:19" x14ac:dyDescent="0.25">
      <c r="A237" s="106" t="s">
        <v>27</v>
      </c>
      <c r="B237" s="106"/>
      <c r="C237" s="106"/>
      <c r="D237" s="106"/>
      <c r="E237" s="106"/>
      <c r="F237" s="106"/>
      <c r="G237" s="106"/>
      <c r="H237" s="106"/>
      <c r="I237" s="106"/>
      <c r="J237" s="106"/>
      <c r="K237" s="68"/>
      <c r="L237" s="66"/>
      <c r="M237" s="69"/>
      <c r="N237" s="70"/>
      <c r="O237" s="14"/>
      <c r="P237" s="14"/>
      <c r="Q237" s="14"/>
      <c r="R237" s="14"/>
      <c r="S237" s="26"/>
    </row>
    <row r="238" spans="1:19" ht="60" x14ac:dyDescent="0.25">
      <c r="A238" s="107" t="s">
        <v>2</v>
      </c>
      <c r="B238" s="107" t="s">
        <v>28</v>
      </c>
      <c r="C238" s="107" t="s">
        <v>4</v>
      </c>
      <c r="D238" s="107" t="s">
        <v>29</v>
      </c>
      <c r="E238" s="107" t="s">
        <v>30</v>
      </c>
      <c r="F238" s="107" t="s">
        <v>31</v>
      </c>
      <c r="G238" s="96" t="s">
        <v>7</v>
      </c>
      <c r="H238" s="108" t="s">
        <v>8</v>
      </c>
      <c r="I238" s="96" t="s">
        <v>9</v>
      </c>
      <c r="J238" s="108" t="s">
        <v>10</v>
      </c>
      <c r="K238" s="97" t="s">
        <v>11</v>
      </c>
      <c r="L238" s="94" t="s">
        <v>12</v>
      </c>
      <c r="M238" s="98"/>
      <c r="N238" s="98"/>
      <c r="O238" s="14"/>
      <c r="P238" s="14"/>
      <c r="Q238" s="14"/>
      <c r="R238" s="14"/>
      <c r="S238" s="26"/>
    </row>
    <row r="239" spans="1:19" x14ac:dyDescent="0.25">
      <c r="A239" s="48" t="s">
        <v>32</v>
      </c>
      <c r="B239" s="48" t="s">
        <v>33</v>
      </c>
      <c r="C239" s="109">
        <f>+'[2]asiganción de ppto'!P46</f>
        <v>75000</v>
      </c>
      <c r="D239" s="80">
        <v>1</v>
      </c>
      <c r="E239" s="57" t="str">
        <f>VLOOKUP(D239,'[1]Tabla 15'!$B$15:$E$26,3,FALSE)</f>
        <v>Afiliados y beneficiarios categoria A</v>
      </c>
      <c r="F239" s="110">
        <f>C239*20%</f>
        <v>15000</v>
      </c>
      <c r="G239" s="21">
        <f>+F239-C239</f>
        <v>-60000</v>
      </c>
      <c r="H239" s="63">
        <f>IF(G239&gt;0,G239/C239,0%)</f>
        <v>0</v>
      </c>
      <c r="I239" s="110">
        <v>6400</v>
      </c>
      <c r="J239" s="63">
        <f>IF(G239&lt;=0,-G239/C239,0%)</f>
        <v>0.8</v>
      </c>
      <c r="K239" s="22">
        <f>IF(I239="NA","NA",(+F239-I239)/F239)</f>
        <v>0.57333333333333336</v>
      </c>
      <c r="L239" s="101">
        <v>250</v>
      </c>
      <c r="M239" s="102"/>
      <c r="N239" s="102"/>
      <c r="O239" s="54"/>
      <c r="P239" s="65"/>
      <c r="Q239" s="65"/>
      <c r="R239" s="14"/>
      <c r="S239" s="26"/>
    </row>
    <row r="240" spans="1:19" x14ac:dyDescent="0.25">
      <c r="A240" s="48"/>
      <c r="B240" s="48"/>
      <c r="C240" s="109"/>
      <c r="D240" s="80">
        <v>2</v>
      </c>
      <c r="E240" s="57" t="str">
        <f>VLOOKUP(D240,'[1]Tabla 15'!$B$15:$E$26,3,FALSE)</f>
        <v>Afiliados y beneficiarios categoria B</v>
      </c>
      <c r="F240" s="110">
        <f>C239*20%</f>
        <v>15000</v>
      </c>
      <c r="G240" s="21">
        <f>+F240-C239</f>
        <v>-60000</v>
      </c>
      <c r="H240" s="63">
        <f>IF(G240&gt;0,G240/C239,0%)</f>
        <v>0</v>
      </c>
      <c r="I240" s="110">
        <v>8000</v>
      </c>
      <c r="J240" s="63">
        <f>IF(G240&lt;=0,-G240/C239,0%)</f>
        <v>0.8</v>
      </c>
      <c r="K240" s="22">
        <f>IF(I240="NA","NA",(+F240-I240)/F240)</f>
        <v>0.46666666666666667</v>
      </c>
      <c r="L240" s="101">
        <v>305</v>
      </c>
      <c r="M240" s="102"/>
      <c r="N240" s="102"/>
      <c r="O240" s="14"/>
      <c r="P240" s="14"/>
      <c r="Q240" s="14"/>
      <c r="R240" s="14"/>
      <c r="S240" s="26"/>
    </row>
    <row r="241" spans="1:19" x14ac:dyDescent="0.25">
      <c r="A241" s="48"/>
      <c r="B241" s="48"/>
      <c r="C241" s="109"/>
      <c r="D241" s="80">
        <v>3</v>
      </c>
      <c r="E241" s="57" t="str">
        <f>VLOOKUP(D241,'[1]Tabla 15'!$B$15:$E$26,3,FALSE)</f>
        <v>Representa el costo del servicio C</v>
      </c>
      <c r="F241" s="110">
        <v>115000</v>
      </c>
      <c r="G241" s="21">
        <f>+F241-C239</f>
        <v>40000</v>
      </c>
      <c r="H241" s="63">
        <f>IF(G241&gt;0,G241/C239,0%)</f>
        <v>0.53333333333333333</v>
      </c>
      <c r="I241" s="110">
        <v>16000</v>
      </c>
      <c r="J241" s="63">
        <f>IF(G241&lt;=0,-G241/C239,0%)</f>
        <v>0</v>
      </c>
      <c r="K241" s="22">
        <f>IF(I241="NA","NA",(+F241-I241)/F241)</f>
        <v>0.86086956521739133</v>
      </c>
      <c r="L241" s="101">
        <v>20</v>
      </c>
      <c r="M241" s="102"/>
      <c r="N241" s="102"/>
      <c r="O241" s="14"/>
      <c r="P241" s="14"/>
      <c r="Q241" s="14"/>
      <c r="R241" s="14"/>
      <c r="S241" s="26"/>
    </row>
    <row r="242" spans="1:19" x14ac:dyDescent="0.25">
      <c r="A242" s="48"/>
      <c r="B242" s="48"/>
      <c r="C242" s="109"/>
      <c r="D242" s="80" t="s">
        <v>34</v>
      </c>
      <c r="E242" s="111" t="s">
        <v>35</v>
      </c>
      <c r="F242" s="110">
        <v>120000</v>
      </c>
      <c r="G242" s="106">
        <v>0</v>
      </c>
      <c r="H242" s="106">
        <v>17100</v>
      </c>
      <c r="I242" s="112">
        <v>2200</v>
      </c>
      <c r="J242" s="106">
        <v>6</v>
      </c>
      <c r="K242" s="68"/>
      <c r="L242" s="101">
        <v>25</v>
      </c>
      <c r="M242" s="102"/>
      <c r="N242" s="102"/>
      <c r="O242" s="14"/>
      <c r="P242" s="14"/>
      <c r="Q242" s="14"/>
      <c r="R242" s="14"/>
      <c r="S242" s="26"/>
    </row>
    <row r="243" spans="1:19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113">
        <f>SUM(L239:L242)</f>
        <v>600</v>
      </c>
      <c r="M243" s="114"/>
      <c r="N243" s="114"/>
      <c r="O243" s="14"/>
      <c r="P243" s="14"/>
      <c r="Q243" s="14"/>
      <c r="R243" s="14"/>
      <c r="S243" s="26"/>
    </row>
    <row r="244" spans="1:19" x14ac:dyDescent="0.25">
      <c r="A244" s="106" t="s">
        <v>27</v>
      </c>
      <c r="B244" s="106"/>
      <c r="C244" s="106"/>
      <c r="D244" s="106"/>
      <c r="E244" s="106"/>
      <c r="F244" s="106"/>
      <c r="G244" s="106"/>
      <c r="H244" s="106"/>
      <c r="I244" s="106"/>
      <c r="J244" s="106"/>
      <c r="K244" s="68"/>
      <c r="L244" s="66"/>
      <c r="M244" s="69"/>
      <c r="N244" s="70"/>
      <c r="O244" s="14"/>
      <c r="P244" s="14"/>
      <c r="Q244" s="14"/>
      <c r="R244" s="14"/>
      <c r="S244" s="26"/>
    </row>
    <row r="245" spans="1:19" ht="63" customHeight="1" x14ac:dyDescent="0.25">
      <c r="A245" s="107" t="s">
        <v>2</v>
      </c>
      <c r="B245" s="107" t="s">
        <v>28</v>
      </c>
      <c r="C245" s="107" t="s">
        <v>4</v>
      </c>
      <c r="D245" s="107" t="s">
        <v>29</v>
      </c>
      <c r="E245" s="107" t="s">
        <v>30</v>
      </c>
      <c r="F245" s="107" t="s">
        <v>31</v>
      </c>
      <c r="G245" s="115" t="s">
        <v>7</v>
      </c>
      <c r="H245" s="108" t="s">
        <v>8</v>
      </c>
      <c r="I245" s="96" t="s">
        <v>9</v>
      </c>
      <c r="J245" s="108" t="s">
        <v>10</v>
      </c>
      <c r="K245" s="97" t="s">
        <v>11</v>
      </c>
      <c r="L245" s="94" t="s">
        <v>12</v>
      </c>
      <c r="M245" s="98"/>
      <c r="N245" s="98"/>
      <c r="O245" s="14"/>
      <c r="P245" s="14"/>
      <c r="Q245" s="14"/>
      <c r="R245" s="14"/>
      <c r="S245" s="26"/>
    </row>
    <row r="246" spans="1:19" x14ac:dyDescent="0.25">
      <c r="A246" s="48" t="s">
        <v>32</v>
      </c>
      <c r="B246" s="48" t="s">
        <v>0</v>
      </c>
      <c r="C246" s="109">
        <f>+'[2]asiganción de ppto'!V46</f>
        <v>173000</v>
      </c>
      <c r="D246" s="80">
        <v>1</v>
      </c>
      <c r="E246" s="57" t="str">
        <f>VLOOKUP(D246,'[1]Tabla 15'!$B$15:$E$26,3,FALSE)</f>
        <v>Afiliados y beneficiarios categoria A</v>
      </c>
      <c r="F246" s="110">
        <f>C246*15%</f>
        <v>25950</v>
      </c>
      <c r="G246" s="21">
        <f>C246*85%</f>
        <v>147050</v>
      </c>
      <c r="H246" s="63">
        <v>0</v>
      </c>
      <c r="I246" s="110">
        <v>180000</v>
      </c>
      <c r="J246" s="63">
        <v>0.75</v>
      </c>
      <c r="K246" s="22">
        <f>IF(I246="NA","NA",(+F246-I246)/F246)</f>
        <v>-5.9364161849710984</v>
      </c>
      <c r="L246" s="101">
        <v>42</v>
      </c>
      <c r="M246" s="102"/>
      <c r="N246" s="102"/>
      <c r="O246" s="14"/>
      <c r="P246" s="65"/>
      <c r="Q246" s="65"/>
      <c r="R246" s="14"/>
      <c r="S246" s="26"/>
    </row>
    <row r="247" spans="1:19" x14ac:dyDescent="0.25">
      <c r="A247" s="48"/>
      <c r="B247" s="48"/>
      <c r="C247" s="109"/>
      <c r="D247" s="80">
        <v>2</v>
      </c>
      <c r="E247" s="57" t="str">
        <f>VLOOKUP(D247,'[1]Tabla 15'!$B$15:$E$26,3,FALSE)</f>
        <v>Afiliados y beneficiarios categoria B</v>
      </c>
      <c r="F247" s="110">
        <f>C246*20%</f>
        <v>34600</v>
      </c>
      <c r="G247" s="21">
        <f>C246*80%</f>
        <v>138400</v>
      </c>
      <c r="H247" s="63">
        <f>IF(G247&gt;0,G247/C246,0%)</f>
        <v>0.8</v>
      </c>
      <c r="I247" s="110">
        <v>180000</v>
      </c>
      <c r="J247" s="63">
        <v>0.8</v>
      </c>
      <c r="K247" s="22">
        <f>IF(I247="NA","NA",(+F247-I247)/F247)</f>
        <v>-4.202312138728324</v>
      </c>
      <c r="L247" s="101">
        <v>45</v>
      </c>
      <c r="M247" s="102"/>
      <c r="N247" s="102"/>
      <c r="O247" s="14"/>
      <c r="P247" s="14"/>
      <c r="Q247" s="14"/>
      <c r="R247" s="14"/>
      <c r="S247" s="26"/>
    </row>
    <row r="248" spans="1:19" x14ac:dyDescent="0.25">
      <c r="A248" s="48"/>
      <c r="B248" s="48"/>
      <c r="C248" s="109"/>
      <c r="D248" s="80">
        <v>3</v>
      </c>
      <c r="E248" s="57" t="str">
        <f>VLOOKUP(D248,'[1]Tabla 15'!$B$15:$E$26,3,FALSE)</f>
        <v>Representa el costo del servicio C</v>
      </c>
      <c r="F248" s="110">
        <v>173000</v>
      </c>
      <c r="G248" s="21">
        <f>+F248-C246</f>
        <v>0</v>
      </c>
      <c r="H248" s="63">
        <f>IF(G248&gt;0,G248/C246,0%)</f>
        <v>0</v>
      </c>
      <c r="I248" s="110">
        <v>205200</v>
      </c>
      <c r="J248" s="63">
        <f>IF(G248&lt;=0,-G248/C246,0%)</f>
        <v>0</v>
      </c>
      <c r="K248" s="22">
        <f>IF(I248="NA","NA",(+F248-I248)/F248)</f>
        <v>-0.18612716763005779</v>
      </c>
      <c r="L248" s="101">
        <v>3</v>
      </c>
      <c r="M248" s="102"/>
      <c r="N248" s="102"/>
      <c r="O248" s="14"/>
      <c r="P248" s="14"/>
      <c r="Q248" s="14"/>
      <c r="R248" s="14"/>
      <c r="S248" s="26"/>
    </row>
    <row r="249" spans="1:19" ht="24" customHeight="1" x14ac:dyDescent="0.25">
      <c r="A249" s="48"/>
      <c r="B249" s="48"/>
      <c r="C249" s="109"/>
      <c r="D249" s="80" t="s">
        <v>34</v>
      </c>
      <c r="E249" s="116" t="s">
        <v>35</v>
      </c>
      <c r="F249" s="110">
        <v>180000</v>
      </c>
      <c r="G249" s="106">
        <v>0</v>
      </c>
      <c r="H249" s="106">
        <v>17100</v>
      </c>
      <c r="I249" s="112">
        <v>2200</v>
      </c>
      <c r="J249" s="106">
        <v>6</v>
      </c>
      <c r="K249" s="68"/>
      <c r="L249" s="101">
        <v>1</v>
      </c>
      <c r="M249" s="102"/>
      <c r="N249" s="25"/>
      <c r="O249" s="25"/>
      <c r="P249" s="25"/>
      <c r="Q249" s="25"/>
      <c r="R249" s="25"/>
      <c r="S249" s="26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17">
        <f>SUM(L246:L249)</f>
        <v>91</v>
      </c>
      <c r="M250" s="118"/>
      <c r="N250" s="118"/>
      <c r="O250" s="119"/>
      <c r="P250" s="120"/>
      <c r="Q250" s="120"/>
      <c r="R250" s="120"/>
      <c r="S250" s="121"/>
    </row>
    <row r="251" spans="1:19" x14ac:dyDescent="0.25">
      <c r="N251" s="122"/>
      <c r="O251" s="122"/>
      <c r="P251" s="122"/>
      <c r="Q251" s="122"/>
      <c r="R251" s="122"/>
      <c r="S251" s="123"/>
    </row>
  </sheetData>
  <mergeCells count="145">
    <mergeCell ref="A236:K236"/>
    <mergeCell ref="A239:A242"/>
    <mergeCell ref="B239:B242"/>
    <mergeCell ref="C239:C242"/>
    <mergeCell ref="A246:A249"/>
    <mergeCell ref="B246:B249"/>
    <mergeCell ref="C246:C249"/>
    <mergeCell ref="A227:A229"/>
    <mergeCell ref="B227:B229"/>
    <mergeCell ref="C227:C229"/>
    <mergeCell ref="A230:K230"/>
    <mergeCell ref="A231:L231"/>
    <mergeCell ref="A233:A235"/>
    <mergeCell ref="B233:B235"/>
    <mergeCell ref="C233:C235"/>
    <mergeCell ref="A218:L218"/>
    <mergeCell ref="A220:A222"/>
    <mergeCell ref="B220:B222"/>
    <mergeCell ref="C220:C222"/>
    <mergeCell ref="A223:K223"/>
    <mergeCell ref="A225:L225"/>
    <mergeCell ref="A205:K205"/>
    <mergeCell ref="A207:L207"/>
    <mergeCell ref="A209:A215"/>
    <mergeCell ref="B209:B215"/>
    <mergeCell ref="C209:C215"/>
    <mergeCell ref="A216:K216"/>
    <mergeCell ref="A192:A195"/>
    <mergeCell ref="B192:B195"/>
    <mergeCell ref="C192:C195"/>
    <mergeCell ref="A196:K196"/>
    <mergeCell ref="A199:L199"/>
    <mergeCell ref="A201:A204"/>
    <mergeCell ref="B201:B204"/>
    <mergeCell ref="C201:C204"/>
    <mergeCell ref="A184:A187"/>
    <mergeCell ref="B184:B187"/>
    <mergeCell ref="C184:C187"/>
    <mergeCell ref="A188:K188"/>
    <mergeCell ref="A189:L189"/>
    <mergeCell ref="A190:L190"/>
    <mergeCell ref="A176:A179"/>
    <mergeCell ref="B176:B179"/>
    <mergeCell ref="C176:C179"/>
    <mergeCell ref="A180:K180"/>
    <mergeCell ref="A181:K181"/>
    <mergeCell ref="A182:L182"/>
    <mergeCell ref="A166:L166"/>
    <mergeCell ref="A168:A171"/>
    <mergeCell ref="B168:B171"/>
    <mergeCell ref="C168:C171"/>
    <mergeCell ref="A172:K172"/>
    <mergeCell ref="A174:L174"/>
    <mergeCell ref="A156:K156"/>
    <mergeCell ref="A158:L158"/>
    <mergeCell ref="A160:A163"/>
    <mergeCell ref="B160:B163"/>
    <mergeCell ref="C160:C163"/>
    <mergeCell ref="A164:K164"/>
    <mergeCell ref="A144:A147"/>
    <mergeCell ref="B144:B147"/>
    <mergeCell ref="C144:C147"/>
    <mergeCell ref="A148:K148"/>
    <mergeCell ref="A150:L150"/>
    <mergeCell ref="A152:A155"/>
    <mergeCell ref="B152:B155"/>
    <mergeCell ref="C152:C155"/>
    <mergeCell ref="A134:L134"/>
    <mergeCell ref="A136:A139"/>
    <mergeCell ref="B136:B139"/>
    <mergeCell ref="C136:C139"/>
    <mergeCell ref="A140:K140"/>
    <mergeCell ref="A142:L142"/>
    <mergeCell ref="A124:K124"/>
    <mergeCell ref="A126:L126"/>
    <mergeCell ref="A128:A131"/>
    <mergeCell ref="B128:B131"/>
    <mergeCell ref="C128:C131"/>
    <mergeCell ref="A132:K132"/>
    <mergeCell ref="A112:A115"/>
    <mergeCell ref="B112:B115"/>
    <mergeCell ref="C112:C115"/>
    <mergeCell ref="A116:K116"/>
    <mergeCell ref="A118:L118"/>
    <mergeCell ref="A120:A123"/>
    <mergeCell ref="B120:B123"/>
    <mergeCell ref="C120:C123"/>
    <mergeCell ref="A102:L102"/>
    <mergeCell ref="A104:A107"/>
    <mergeCell ref="B104:B107"/>
    <mergeCell ref="C104:C107"/>
    <mergeCell ref="A108:K108"/>
    <mergeCell ref="A110:L110"/>
    <mergeCell ref="A94:L94"/>
    <mergeCell ref="A96:A99"/>
    <mergeCell ref="B96:B99"/>
    <mergeCell ref="C96:C99"/>
    <mergeCell ref="A100:K100"/>
    <mergeCell ref="A101:L101"/>
    <mergeCell ref="A84:K84"/>
    <mergeCell ref="A86:L86"/>
    <mergeCell ref="A88:A91"/>
    <mergeCell ref="B88:B91"/>
    <mergeCell ref="C88:C91"/>
    <mergeCell ref="A92:K92"/>
    <mergeCell ref="A74:K74"/>
    <mergeCell ref="A75:K75"/>
    <mergeCell ref="A76:L76"/>
    <mergeCell ref="A78:A83"/>
    <mergeCell ref="B78:B83"/>
    <mergeCell ref="C78:C83"/>
    <mergeCell ref="A57:A63"/>
    <mergeCell ref="B57:B63"/>
    <mergeCell ref="C57:C63"/>
    <mergeCell ref="A64:K64"/>
    <mergeCell ref="A66:L66"/>
    <mergeCell ref="A68:A73"/>
    <mergeCell ref="B68:B73"/>
    <mergeCell ref="C68:C73"/>
    <mergeCell ref="A44:L44"/>
    <mergeCell ref="A46:A52"/>
    <mergeCell ref="B46:B52"/>
    <mergeCell ref="C46:C52"/>
    <mergeCell ref="A53:K53"/>
    <mergeCell ref="A55:L55"/>
    <mergeCell ref="A32:K32"/>
    <mergeCell ref="A34:L34"/>
    <mergeCell ref="A36:A41"/>
    <mergeCell ref="B36:B41"/>
    <mergeCell ref="C36:C41"/>
    <mergeCell ref="A42:K42"/>
    <mergeCell ref="A15:A21"/>
    <mergeCell ref="B15:B21"/>
    <mergeCell ref="C15:C21"/>
    <mergeCell ref="A22:K22"/>
    <mergeCell ref="A24:L24"/>
    <mergeCell ref="A26:A31"/>
    <mergeCell ref="B26:B31"/>
    <mergeCell ref="C26:C31"/>
    <mergeCell ref="A2:L2"/>
    <mergeCell ref="A4:A10"/>
    <mergeCell ref="B4:B10"/>
    <mergeCell ref="C4:C10"/>
    <mergeCell ref="A11:K11"/>
    <mergeCell ref="A13:L13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2021-03-03T15:36:01Z</cp:lastPrinted>
  <dcterms:created xsi:type="dcterms:W3CDTF">2021-03-03T15:35:02Z</dcterms:created>
  <dcterms:modified xsi:type="dcterms:W3CDTF">2021-03-03T15:39:20Z</dcterms:modified>
</cp:coreProperties>
</file>